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270" windowHeight="7845" tabRatio="846"/>
  </bookViews>
  <sheets>
    <sheet name="CUMPLIMIENTO" sheetId="20" r:id="rId1"/>
    <sheet name="SUBDIRECCION " sheetId="91" r:id="rId2"/>
    <sheet name="CEA" sheetId="48" r:id="rId3"/>
    <sheet name="INMUEBLES" sheetId="82" r:id="rId4"/>
    <sheet name="TALENTO  HUMANO" sheetId="72" r:id="rId5"/>
    <sheet name="INFORMATICA" sheetId="101" r:id="rId6"/>
    <sheet name="DSSA" sheetId="98" r:id="rId7"/>
    <sheet name="TELECOMUNICACIONES" sheetId="96" r:id="rId8"/>
    <sheet name="DDA" sheetId="97" r:id="rId9"/>
    <sheet name="SSA" sheetId="94" r:id="rId10"/>
    <sheet name="ANTIOQUIA" sheetId="74" r:id="rId11"/>
    <sheet name="ATLANTICO" sheetId="81" r:id="rId12"/>
    <sheet name="VALLE" sheetId="77" r:id="rId13"/>
    <sheet name="NORTE DE SANTANDER" sheetId="100" r:id="rId14"/>
    <sheet name="Hoja5" sheetId="75" state="hidden" r:id="rId15"/>
    <sheet name="META" sheetId="84" r:id="rId16"/>
    <sheet name="CUNDINAMARCA" sheetId="103" r:id="rId17"/>
  </sheets>
  <externalReferences>
    <externalReference r:id="rId18"/>
    <externalReference r:id="rId19"/>
    <externalReference r:id="rId20"/>
    <externalReference r:id="rId21"/>
    <externalReference r:id="rId22"/>
    <externalReference r:id="rId23"/>
    <externalReference r:id="rId24"/>
  </externalReferences>
  <definedNames>
    <definedName name="_______________car234">#REF!</definedName>
    <definedName name="______________car234" localSheetId="6">#REF!</definedName>
    <definedName name="______________car234">#REF!</definedName>
    <definedName name="_____________car234" localSheetId="11">#REF!</definedName>
    <definedName name="_____________car234" localSheetId="6">#REF!</definedName>
    <definedName name="_____________car234" localSheetId="5">#REF!</definedName>
    <definedName name="_____________car234" localSheetId="12">#REF!</definedName>
    <definedName name="_____________car234">#REF!</definedName>
    <definedName name="____________car234" localSheetId="11">#REF!</definedName>
    <definedName name="____________car234" localSheetId="6">#REF!</definedName>
    <definedName name="____________car234" localSheetId="5">#REF!</definedName>
    <definedName name="____________car234" localSheetId="12">#REF!</definedName>
    <definedName name="____________car234">#REF!</definedName>
    <definedName name="___________car234" localSheetId="11">#REF!</definedName>
    <definedName name="___________car234" localSheetId="6">#REF!</definedName>
    <definedName name="___________car234" localSheetId="5">#REF!</definedName>
    <definedName name="___________car234" localSheetId="12">#REF!</definedName>
    <definedName name="___________car234">#REF!</definedName>
    <definedName name="__________car234" localSheetId="11">#REF!</definedName>
    <definedName name="__________car234" localSheetId="2">#REF!</definedName>
    <definedName name="__________car234" localSheetId="6">#REF!</definedName>
    <definedName name="__________car234" localSheetId="5">#REF!</definedName>
    <definedName name="__________car234" localSheetId="9">#REF!</definedName>
    <definedName name="__________car234" localSheetId="7">#REF!</definedName>
    <definedName name="__________car234" localSheetId="12">#REF!</definedName>
    <definedName name="__________car234">#REF!</definedName>
    <definedName name="_________car234" localSheetId="11">#REF!</definedName>
    <definedName name="_________car234" localSheetId="6">#REF!</definedName>
    <definedName name="_________car234" localSheetId="5">#REF!</definedName>
    <definedName name="_________car234" localSheetId="12">#REF!</definedName>
    <definedName name="_________car234">#REF!</definedName>
    <definedName name="________car234" localSheetId="11">#REF!</definedName>
    <definedName name="________car234" localSheetId="2">#REF!</definedName>
    <definedName name="________car234" localSheetId="6">#REF!</definedName>
    <definedName name="________car234" localSheetId="5">#REF!</definedName>
    <definedName name="________car234" localSheetId="9">#REF!</definedName>
    <definedName name="________car234" localSheetId="7">#REF!</definedName>
    <definedName name="________car234" localSheetId="12">#REF!</definedName>
    <definedName name="________car234">#REF!</definedName>
    <definedName name="_______car234" localSheetId="11">#REF!</definedName>
    <definedName name="_______car234" localSheetId="2">#REF!</definedName>
    <definedName name="_______car234" localSheetId="6">#REF!</definedName>
    <definedName name="_______car234" localSheetId="5">#REF!</definedName>
    <definedName name="_______car234" localSheetId="9">#REF!</definedName>
    <definedName name="_______car234" localSheetId="7">#REF!</definedName>
    <definedName name="_______car234" localSheetId="12">#REF!</definedName>
    <definedName name="_______car234">#REF!</definedName>
    <definedName name="______car234" localSheetId="11">#REF!</definedName>
    <definedName name="______car234" localSheetId="2">#REF!</definedName>
    <definedName name="______car234" localSheetId="6">#REF!</definedName>
    <definedName name="______car234" localSheetId="5">#REF!</definedName>
    <definedName name="______car234" localSheetId="9">#REF!</definedName>
    <definedName name="______car234" localSheetId="7">#REF!</definedName>
    <definedName name="______car234" localSheetId="12">#REF!</definedName>
    <definedName name="______car234">#REF!</definedName>
    <definedName name="_____car234" localSheetId="11">#REF!</definedName>
    <definedName name="_____car234" localSheetId="2">#REF!</definedName>
    <definedName name="_____car234" localSheetId="6">#REF!</definedName>
    <definedName name="_____car234" localSheetId="5">#REF!</definedName>
    <definedName name="_____car234" localSheetId="9">#REF!</definedName>
    <definedName name="_____car234" localSheetId="7">#REF!</definedName>
    <definedName name="_____car234" localSheetId="12">#REF!</definedName>
    <definedName name="_____car234">#REF!</definedName>
    <definedName name="____car234" localSheetId="11">#REF!</definedName>
    <definedName name="____car234" localSheetId="2">#REF!</definedName>
    <definedName name="____car234" localSheetId="6">#REF!</definedName>
    <definedName name="____car234" localSheetId="5">#REF!</definedName>
    <definedName name="____car234" localSheetId="9">#REF!</definedName>
    <definedName name="____car234" localSheetId="7">#REF!</definedName>
    <definedName name="____car234" localSheetId="12">#REF!</definedName>
    <definedName name="____car234">#REF!</definedName>
    <definedName name="___CAR0124" localSheetId="11">#REF!</definedName>
    <definedName name="___CAR0124" localSheetId="6">#REF!</definedName>
    <definedName name="___CAR0124" localSheetId="5">#REF!</definedName>
    <definedName name="___CAR0124" localSheetId="12">#REF!</definedName>
    <definedName name="___CAR0124">#REF!</definedName>
    <definedName name="___car234" localSheetId="11">#REF!</definedName>
    <definedName name="___car234" localSheetId="2">#REF!</definedName>
    <definedName name="___car234" localSheetId="6">#REF!</definedName>
    <definedName name="___car234" localSheetId="5">#REF!</definedName>
    <definedName name="___car234" localSheetId="9">#REF!</definedName>
    <definedName name="___car234" localSheetId="7">#REF!</definedName>
    <definedName name="___car234" localSheetId="12">#REF!</definedName>
    <definedName name="___car234">#REF!</definedName>
    <definedName name="__CAR0124" localSheetId="11">#REF!</definedName>
    <definedName name="__CAR0124" localSheetId="2">#REF!</definedName>
    <definedName name="__CAR0124" localSheetId="6">#REF!</definedName>
    <definedName name="__CAR0124" localSheetId="5">#REF!</definedName>
    <definedName name="__CAR0124" localSheetId="9">#REF!</definedName>
    <definedName name="__CAR0124" localSheetId="7">#REF!</definedName>
    <definedName name="__CAR0124" localSheetId="12">#REF!</definedName>
    <definedName name="__CAR0124">#REF!</definedName>
    <definedName name="__car234" localSheetId="11">#REF!</definedName>
    <definedName name="__car234" localSheetId="2">#REF!</definedName>
    <definedName name="__car234" localSheetId="6">#REF!</definedName>
    <definedName name="__car234" localSheetId="5">#REF!</definedName>
    <definedName name="__car234" localSheetId="9">#REF!</definedName>
    <definedName name="__car234" localSheetId="7">#REF!</definedName>
    <definedName name="__car234" localSheetId="12">#REF!</definedName>
    <definedName name="__car234">#REF!</definedName>
    <definedName name="__CER34" localSheetId="11">#REF!</definedName>
    <definedName name="__CER34" localSheetId="2">#REF!</definedName>
    <definedName name="__CER34" localSheetId="6">#REF!</definedName>
    <definedName name="__CER34" localSheetId="5">#REF!</definedName>
    <definedName name="__CER34" localSheetId="9">#REF!</definedName>
    <definedName name="__CER34" localSheetId="7">#REF!</definedName>
    <definedName name="__CER34" localSheetId="12">#REF!</definedName>
    <definedName name="__CER34">#REF!</definedName>
    <definedName name="_CAR0124" localSheetId="11">#REF!</definedName>
    <definedName name="_CAR0124" localSheetId="2">#REF!</definedName>
    <definedName name="_CAR0124" localSheetId="6">#REF!</definedName>
    <definedName name="_CAR0124" localSheetId="5">#REF!</definedName>
    <definedName name="_CAR0124" localSheetId="9">#REF!</definedName>
    <definedName name="_CAR0124" localSheetId="7">#REF!</definedName>
    <definedName name="_CAR0124" localSheetId="12">#REF!</definedName>
    <definedName name="_CAR0124">#REF!</definedName>
    <definedName name="_car234" localSheetId="11">#REF!</definedName>
    <definedName name="_car234" localSheetId="2">#REF!</definedName>
    <definedName name="_car234" localSheetId="6">#REF!</definedName>
    <definedName name="_car234" localSheetId="5">#REF!</definedName>
    <definedName name="_car234" localSheetId="9">#REF!</definedName>
    <definedName name="_car234" localSheetId="7">#REF!</definedName>
    <definedName name="_car234" localSheetId="12">#REF!</definedName>
    <definedName name="_car234">#REF!</definedName>
    <definedName name="_CER34" localSheetId="11">#REF!</definedName>
    <definedName name="_CER34" localSheetId="2">#REF!</definedName>
    <definedName name="_CER34" localSheetId="6">#REF!</definedName>
    <definedName name="_CER34" localSheetId="5">#REF!</definedName>
    <definedName name="_CER34" localSheetId="9">#REF!</definedName>
    <definedName name="_CER34" localSheetId="7">#REF!</definedName>
    <definedName name="_CER34" localSheetId="12">#REF!</definedName>
    <definedName name="_CER34">#REF!</definedName>
    <definedName name="_xlnm._FilterDatabase" localSheetId="13" hidden="1">'NORTE DE SANTANDER'!$6:$167</definedName>
    <definedName name="AAA" localSheetId="11">#REF!</definedName>
    <definedName name="AAA" localSheetId="2">#REF!</definedName>
    <definedName name="AAA" localSheetId="6">#REF!</definedName>
    <definedName name="AAA" localSheetId="5">#REF!</definedName>
    <definedName name="AAA" localSheetId="9">#REF!</definedName>
    <definedName name="AAA" localSheetId="7">#REF!</definedName>
    <definedName name="AAA" localSheetId="12">#REF!</definedName>
    <definedName name="AAA">#REF!</definedName>
    <definedName name="AAAA123" localSheetId="11">#REF!</definedName>
    <definedName name="AAAA123" localSheetId="2">#REF!</definedName>
    <definedName name="AAAA123" localSheetId="6">#REF!</definedName>
    <definedName name="AAAA123" localSheetId="5">#REF!</definedName>
    <definedName name="AAAA123" localSheetId="9">#REF!</definedName>
    <definedName name="AAAA123" localSheetId="7">#REF!</definedName>
    <definedName name="AAAA123" localSheetId="12">#REF!</definedName>
    <definedName name="AAAA123">#REF!</definedName>
    <definedName name="aaaaa123" localSheetId="11">#REF!</definedName>
    <definedName name="aaaaa123" localSheetId="2">#REF!</definedName>
    <definedName name="aaaaa123" localSheetId="6">#REF!</definedName>
    <definedName name="aaaaa123" localSheetId="5">#REF!</definedName>
    <definedName name="aaaaa123" localSheetId="9">#REF!</definedName>
    <definedName name="aaaaa123" localSheetId="7">#REF!</definedName>
    <definedName name="aaaaa123" localSheetId="12">#REF!</definedName>
    <definedName name="aaaaa123">#REF!</definedName>
    <definedName name="AAAAAAAA" localSheetId="11">#REF!</definedName>
    <definedName name="AAAAAAAA" localSheetId="2">#REF!</definedName>
    <definedName name="AAAAAAAA" localSheetId="6">#REF!</definedName>
    <definedName name="AAAAAAAA" localSheetId="5">#REF!</definedName>
    <definedName name="AAAAAAAA" localSheetId="9">#REF!</definedName>
    <definedName name="AAAAAAAA" localSheetId="7">#REF!</definedName>
    <definedName name="AAAAAAAA" localSheetId="12">#REF!</definedName>
    <definedName name="AAAAAAAA">#REF!</definedName>
    <definedName name="Agregado">[1]Listas!$E$4:$E$5</definedName>
    <definedName name="Alias">[1]Listas!$F$3:$F$68</definedName>
    <definedName name="_xlnm.Print_Area" localSheetId="5">#REF!</definedName>
    <definedName name="_xlnm.Print_Area" localSheetId="12">#REF!</definedName>
    <definedName name="_xlnm.Print_Area">#REF!</definedName>
    <definedName name="ASD" localSheetId="11">#REF!</definedName>
    <definedName name="ASD" localSheetId="2">#REF!</definedName>
    <definedName name="ASD" localSheetId="6">#REF!</definedName>
    <definedName name="ASD" localSheetId="5">#REF!</definedName>
    <definedName name="ASD" localSheetId="9">#REF!</definedName>
    <definedName name="ASD" localSheetId="7">#REF!</definedName>
    <definedName name="ASD" localSheetId="12">#REF!</definedName>
    <definedName name="ASD">#REF!</definedName>
    <definedName name="Basica" localSheetId="11">#REF!</definedName>
    <definedName name="Basica" localSheetId="6">#REF!</definedName>
    <definedName name="Basica" localSheetId="5">#REF!</definedName>
    <definedName name="Basica" localSheetId="12">#REF!</definedName>
    <definedName name="Basica">#REF!</definedName>
    <definedName name="bb" localSheetId="11">#REF!</definedName>
    <definedName name="bb" localSheetId="6">#REF!</definedName>
    <definedName name="bb" localSheetId="5">#REF!</definedName>
    <definedName name="bb" localSheetId="12">#REF!</definedName>
    <definedName name="bb">#REF!</definedName>
    <definedName name="BBB" localSheetId="11">#REF!</definedName>
    <definedName name="BBB" localSheetId="2">#REF!</definedName>
    <definedName name="BBB" localSheetId="6">#REF!</definedName>
    <definedName name="BBB" localSheetId="5">#REF!</definedName>
    <definedName name="BBB" localSheetId="9">#REF!</definedName>
    <definedName name="BBB" localSheetId="7">#REF!</definedName>
    <definedName name="BBB" localSheetId="12">#REF!</definedName>
    <definedName name="BBB">#REF!</definedName>
    <definedName name="BBBB" localSheetId="5">#REF!</definedName>
    <definedName name="BBBB" localSheetId="12">#REF!</definedName>
    <definedName name="BBBB">#REF!</definedName>
    <definedName name="bbbbb" localSheetId="5">#REF!</definedName>
    <definedName name="bbbbb" localSheetId="12">#REF!</definedName>
    <definedName name="bbbbb">#REF!</definedName>
    <definedName name="bbbbbb" localSheetId="5">[2]OBLIGACIONES!$D$4:$D$9</definedName>
    <definedName name="bbbbbb">[2]Listas!$D$4:$D$9</definedName>
    <definedName name="bbbbbbb">[2]Listas!$D$4:$D$9</definedName>
    <definedName name="BBBBBBB11" localSheetId="11">#REF!</definedName>
    <definedName name="BBBBBBB11" localSheetId="6">#REF!</definedName>
    <definedName name="BBBBBBB11" localSheetId="5">#REF!</definedName>
    <definedName name="BBBBBBB11" localSheetId="12">#REF!</definedName>
    <definedName name="BBBBBBB11">#REF!</definedName>
    <definedName name="brglllmb" localSheetId="11">#REF!</definedName>
    <definedName name="brglllmb" localSheetId="2">#REF!</definedName>
    <definedName name="brglllmb" localSheetId="6">#REF!</definedName>
    <definedName name="brglllmb" localSheetId="5">#REF!</definedName>
    <definedName name="brglllmb" localSheetId="9">#REF!</definedName>
    <definedName name="brglllmb" localSheetId="7">#REF!</definedName>
    <definedName name="brglllmb" localSheetId="12">#REF!</definedName>
    <definedName name="brglllmb">#REF!</definedName>
    <definedName name="CAPITAL">[1]Listas!$I$4:$I$8</definedName>
    <definedName name="carl" localSheetId="5">#REF!</definedName>
    <definedName name="carl" localSheetId="12">#REF!</definedName>
    <definedName name="carl">#REF!</definedName>
    <definedName name="Categorias">[1]Listas!$D$4:$D$9</definedName>
    <definedName name="CCC" localSheetId="11">#REF!</definedName>
    <definedName name="CCC" localSheetId="2">#REF!</definedName>
    <definedName name="CCC" localSheetId="6">#REF!</definedName>
    <definedName name="CCC" localSheetId="5">#REF!</definedName>
    <definedName name="CCC" localSheetId="9">#REF!</definedName>
    <definedName name="CCC" localSheetId="7">#REF!</definedName>
    <definedName name="CCC" localSheetId="12">#REF!</definedName>
    <definedName name="CCC">#REF!</definedName>
    <definedName name="CCCC" localSheetId="5">#REF!</definedName>
    <definedName name="CCCC" localSheetId="12">#REF!</definedName>
    <definedName name="CCCC">#REF!</definedName>
    <definedName name="cccccccc" localSheetId="11">#REF!</definedName>
    <definedName name="cccccccc" localSheetId="2">#REF!</definedName>
    <definedName name="cccccccc" localSheetId="6">#REF!</definedName>
    <definedName name="cccccccc" localSheetId="5">#REF!</definedName>
    <definedName name="cccccccc" localSheetId="9">#REF!</definedName>
    <definedName name="cccccccc" localSheetId="7">#REF!</definedName>
    <definedName name="cccccccc" localSheetId="12">#REF!</definedName>
    <definedName name="cccccccc">#REF!</definedName>
    <definedName name="cla" localSheetId="5">#REF!</definedName>
    <definedName name="cla" localSheetId="12">#REF!</definedName>
    <definedName name="cla">#REF!</definedName>
    <definedName name="Concepto" localSheetId="11">#REF!</definedName>
    <definedName name="Concepto" localSheetId="6">#REF!</definedName>
    <definedName name="Concepto" localSheetId="5">#REF!</definedName>
    <definedName name="Concepto" localSheetId="12">#REF!</definedName>
    <definedName name="Concepto">#REF!</definedName>
    <definedName name="CVDF" localSheetId="11">#REF!</definedName>
    <definedName name="CVDF" localSheetId="2">#REF!</definedName>
    <definedName name="CVDF" localSheetId="6">#REF!</definedName>
    <definedName name="CVDF" localSheetId="5">#REF!</definedName>
    <definedName name="CVDF" localSheetId="9">#REF!</definedName>
    <definedName name="CVDF" localSheetId="7">#REF!</definedName>
    <definedName name="CVDF" localSheetId="12">#REF!</definedName>
    <definedName name="CVDF">#REF!</definedName>
    <definedName name="DDDD" localSheetId="11">#REF!</definedName>
    <definedName name="DDDD" localSheetId="2">#REF!</definedName>
    <definedName name="DDDD" localSheetId="6">#REF!</definedName>
    <definedName name="DDDD" localSheetId="5">#REF!</definedName>
    <definedName name="DDDD" localSheetId="9">#REF!</definedName>
    <definedName name="DDDD" localSheetId="7">#REF!</definedName>
    <definedName name="DDDD" localSheetId="12">#REF!</definedName>
    <definedName name="DDDD">#REF!</definedName>
    <definedName name="ddddd" localSheetId="5">#REF!</definedName>
    <definedName name="ddddd" localSheetId="7">#REF!</definedName>
    <definedName name="ddddd" localSheetId="12">#REF!</definedName>
    <definedName name="ddddd">#REF!</definedName>
    <definedName name="DDDDDDDD" localSheetId="11">#REF!</definedName>
    <definedName name="DDDDDDDD" localSheetId="2">#REF!</definedName>
    <definedName name="DDDDDDDD" localSheetId="6">#REF!</definedName>
    <definedName name="DDDDDDDD" localSheetId="5">#REF!</definedName>
    <definedName name="DDDDDDDD" localSheetId="9">#REF!</definedName>
    <definedName name="DDDDDDDD" localSheetId="7">#REF!</definedName>
    <definedName name="DDDDDDDD" localSheetId="12">#REF!</definedName>
    <definedName name="DDDDDDDD">#REF!</definedName>
    <definedName name="DDDDDDDDDD" localSheetId="11">#REF!</definedName>
    <definedName name="DDDDDDDDDD" localSheetId="2">#REF!</definedName>
    <definedName name="DDDDDDDDDD" localSheetId="6">#REF!</definedName>
    <definedName name="DDDDDDDDDD" localSheetId="5">#REF!</definedName>
    <definedName name="DDDDDDDDDD" localSheetId="9">#REF!</definedName>
    <definedName name="DDDDDDDDDD" localSheetId="7">#REF!</definedName>
    <definedName name="DDDDDDDDDD" localSheetId="12">#REF!</definedName>
    <definedName name="DDDDDDDDDD">#REF!</definedName>
    <definedName name="DDFDF" localSheetId="11">#REF!</definedName>
    <definedName name="DDFDF" localSheetId="2">#REF!</definedName>
    <definedName name="DDFDF" localSheetId="6">#REF!</definedName>
    <definedName name="DDFDF" localSheetId="5">#REF!</definedName>
    <definedName name="DDFDF" localSheetId="9">#REF!</definedName>
    <definedName name="DDFDF" localSheetId="7">#REF!</definedName>
    <definedName name="DDFDF" localSheetId="12">#REF!</definedName>
    <definedName name="DDFDF">#REF!</definedName>
    <definedName name="DE" localSheetId="11">#REF!</definedName>
    <definedName name="DE" localSheetId="2">#REF!</definedName>
    <definedName name="DE" localSheetId="6">#REF!</definedName>
    <definedName name="DE" localSheetId="5">#REF!</definedName>
    <definedName name="DE" localSheetId="9">#REF!</definedName>
    <definedName name="DE" localSheetId="7">#REF!</definedName>
    <definedName name="DE" localSheetId="12">#REF!</definedName>
    <definedName name="DE">#REF!</definedName>
    <definedName name="dfh" localSheetId="11">#REF!</definedName>
    <definedName name="dfh" localSheetId="2">#REF!</definedName>
    <definedName name="dfh" localSheetId="6">#REF!</definedName>
    <definedName name="dfh" localSheetId="5">#REF!</definedName>
    <definedName name="dfh" localSheetId="9">#REF!</definedName>
    <definedName name="dfh" localSheetId="7">#REF!</definedName>
    <definedName name="dfh" localSheetId="12">#REF!</definedName>
    <definedName name="dfh">#REF!</definedName>
    <definedName name="DGHDG" localSheetId="11">#REF!</definedName>
    <definedName name="DGHDG" localSheetId="2">#REF!</definedName>
    <definedName name="DGHDG" localSheetId="6">#REF!</definedName>
    <definedName name="DGHDG" localSheetId="5">#REF!</definedName>
    <definedName name="DGHDG" localSheetId="9">#REF!</definedName>
    <definedName name="DGHDG" localSheetId="7">#REF!</definedName>
    <definedName name="DGHDG" localSheetId="12">#REF!</definedName>
    <definedName name="DGHDG">#REF!</definedName>
    <definedName name="DGHFGGHJ" localSheetId="11">'[3]Prog y Sub MGMP'!$C$2:$C$63</definedName>
    <definedName name="DGHFGGHJ" localSheetId="2">'[3]Prog y Sub MGMP'!$C$2:$C$63</definedName>
    <definedName name="DGHFGGHJ" localSheetId="6">'[3]Prog y Sub MGMP'!$C$2:$C$63</definedName>
    <definedName name="DGHFGGHJ" localSheetId="5">'[4]Prog y Sub MGMP'!$C$2:$C$63</definedName>
    <definedName name="DGHFGGHJ" localSheetId="9">'[3]Prog y Sub MGMP'!$C$2:$C$63</definedName>
    <definedName name="DGHFGGHJ" localSheetId="7">'[3]Prog y Sub MGMP'!$C$2:$C$63</definedName>
    <definedName name="DGHFGGHJ" localSheetId="12">'[3]Prog y Sub MGMP'!$C$2:$C$63</definedName>
    <definedName name="DGHFGGHJ">'[3]Prog y Sub MGMP'!$C$2:$C$63</definedName>
    <definedName name="DGHG" localSheetId="11">#REF!</definedName>
    <definedName name="DGHG" localSheetId="2">#REF!</definedName>
    <definedName name="DGHG" localSheetId="6">#REF!</definedName>
    <definedName name="DGHG" localSheetId="5">#REF!</definedName>
    <definedName name="DGHG" localSheetId="9">#REF!</definedName>
    <definedName name="DGHG" localSheetId="7">#REF!</definedName>
    <definedName name="DGHG" localSheetId="12">#REF!</definedName>
    <definedName name="DGHG">#REF!</definedName>
    <definedName name="DHDGHFG" localSheetId="11">#REF!</definedName>
    <definedName name="DHDGHFG" localSheetId="2">#REF!</definedName>
    <definedName name="DHDGHFG" localSheetId="6">#REF!</definedName>
    <definedName name="DHDGHFG" localSheetId="5">#REF!</definedName>
    <definedName name="DHDGHFG" localSheetId="9">#REF!</definedName>
    <definedName name="DHDGHFG" localSheetId="7">#REF!</definedName>
    <definedName name="DHDGHFG" localSheetId="12">#REF!</definedName>
    <definedName name="DHDGHFG">#REF!</definedName>
    <definedName name="DHDGHGHGF" localSheetId="11">#REF!</definedName>
    <definedName name="DHDGHGHGF" localSheetId="2">#REF!</definedName>
    <definedName name="DHDGHGHGF" localSheetId="6">#REF!</definedName>
    <definedName name="DHDGHGHGF" localSheetId="5">#REF!</definedName>
    <definedName name="DHDGHGHGF" localSheetId="9">#REF!</definedName>
    <definedName name="DHDGHGHGF" localSheetId="7">#REF!</definedName>
    <definedName name="DHDGHGHGF" localSheetId="12">#REF!</definedName>
    <definedName name="DHDGHGHGF">#REF!</definedName>
    <definedName name="DHFGHF" localSheetId="11">#REF!</definedName>
    <definedName name="DHFGHF" localSheetId="2">#REF!</definedName>
    <definedName name="DHFGHF" localSheetId="6">#REF!</definedName>
    <definedName name="DHFGHF" localSheetId="5">#REF!</definedName>
    <definedName name="DHFGHF" localSheetId="9">#REF!</definedName>
    <definedName name="DHFGHF" localSheetId="7">#REF!</definedName>
    <definedName name="DHFGHF" localSheetId="12">#REF!</definedName>
    <definedName name="DHFGHF">#REF!</definedName>
    <definedName name="elvi1947">[1]Listas!$B$4:$B$97</definedName>
    <definedName name="Entidad">[1]Listas!$B$4:$B$97</definedName>
    <definedName name="ESTRATEGIAPND">[1]Listas!$P$4:$P$29</definedName>
    <definedName name="FDGDFG" localSheetId="11">#REF!</definedName>
    <definedName name="FDGDFG" localSheetId="2">#REF!</definedName>
    <definedName name="FDGDFG" localSheetId="6">#REF!</definedName>
    <definedName name="FDGDFG" localSheetId="5">#REF!</definedName>
    <definedName name="FDGDFG" localSheetId="9">#REF!</definedName>
    <definedName name="FDGDFG" localSheetId="7">#REF!</definedName>
    <definedName name="FDGDFG" localSheetId="12">#REF!</definedName>
    <definedName name="FDGDFG">#REF!</definedName>
    <definedName name="FDI" localSheetId="11">#REF!</definedName>
    <definedName name="FDI" localSheetId="2">#REF!</definedName>
    <definedName name="FDI" localSheetId="6">#REF!</definedName>
    <definedName name="FDI" localSheetId="5">#REF!</definedName>
    <definedName name="FDI" localSheetId="9">#REF!</definedName>
    <definedName name="FDI" localSheetId="7">#REF!</definedName>
    <definedName name="FDI" localSheetId="12">#REF!</definedName>
    <definedName name="FDI">#REF!</definedName>
    <definedName name="FFFFF" localSheetId="11">#REF!</definedName>
    <definedName name="FFFFF" localSheetId="2">#REF!</definedName>
    <definedName name="FFFFF" localSheetId="6">#REF!</definedName>
    <definedName name="FFFFF" localSheetId="5">#REF!</definedName>
    <definedName name="FFFFF" localSheetId="9">#REF!</definedName>
    <definedName name="FFFFF" localSheetId="7">#REF!</definedName>
    <definedName name="FFFFF" localSheetId="12">#REF!</definedName>
    <definedName name="FFFFF">#REF!</definedName>
    <definedName name="fffffr" localSheetId="5">#REF!</definedName>
    <definedName name="fffffr" localSheetId="7">#REF!</definedName>
    <definedName name="fffffr" localSheetId="12">#REF!</definedName>
    <definedName name="fffffr">#REF!</definedName>
    <definedName name="FGHDFGHDF" localSheetId="11">#REF!</definedName>
    <definedName name="FGHDFGHDF" localSheetId="2">#REF!</definedName>
    <definedName name="FGHDFGHDF" localSheetId="6">#REF!</definedName>
    <definedName name="FGHDFGHDF" localSheetId="5">#REF!</definedName>
    <definedName name="FGHDFGHDF" localSheetId="9">#REF!</definedName>
    <definedName name="FGHDFGHDF" localSheetId="7">#REF!</definedName>
    <definedName name="FGHDFGHDF" localSheetId="12">#REF!</definedName>
    <definedName name="FGHDFGHDF">#REF!</definedName>
    <definedName name="Fuentes">[1]Listas!$C$4:$C$11</definedName>
    <definedName name="gali" localSheetId="11">#REF!</definedName>
    <definedName name="gali" localSheetId="2">#REF!</definedName>
    <definedName name="gali" localSheetId="6">#REF!</definedName>
    <definedName name="gali" localSheetId="5">#REF!</definedName>
    <definedName name="gali" localSheetId="9">#REF!</definedName>
    <definedName name="gali" localSheetId="7">#REF!</definedName>
    <definedName name="gali" localSheetId="12">#REF!</definedName>
    <definedName name="gali">#REF!</definedName>
    <definedName name="gali1234" localSheetId="11">#REF!</definedName>
    <definedName name="gali1234" localSheetId="2">#REF!</definedName>
    <definedName name="gali1234" localSheetId="6">#REF!</definedName>
    <definedName name="gali1234" localSheetId="5">#REF!</definedName>
    <definedName name="gali1234" localSheetId="9">#REF!</definedName>
    <definedName name="gali1234" localSheetId="7">#REF!</definedName>
    <definedName name="gali1234" localSheetId="12">#REF!</definedName>
    <definedName name="gali1234">#REF!</definedName>
    <definedName name="GDF" localSheetId="11">#REF!</definedName>
    <definedName name="GDF" localSheetId="2">#REF!</definedName>
    <definedName name="GDF" localSheetId="6">#REF!</definedName>
    <definedName name="GDF" localSheetId="5">#REF!</definedName>
    <definedName name="GDF" localSheetId="9">#REF!</definedName>
    <definedName name="GDF" localSheetId="7">#REF!</definedName>
    <definedName name="GDF" localSheetId="12">#REF!</definedName>
    <definedName name="GDF">#REF!</definedName>
    <definedName name="gdfh" localSheetId="11">#REF!</definedName>
    <definedName name="gdfh" localSheetId="2">#REF!</definedName>
    <definedName name="gdfh" localSheetId="6">#REF!</definedName>
    <definedName name="gdfh" localSheetId="5">#REF!</definedName>
    <definedName name="gdfh" localSheetId="9">#REF!</definedName>
    <definedName name="gdfh" localSheetId="7">#REF!</definedName>
    <definedName name="gdfh" localSheetId="12">#REF!</definedName>
    <definedName name="gdfh">#REF!</definedName>
    <definedName name="GDJHFGJHFGJ" localSheetId="11">'[3]Prog y Sub MGMP'!$B$2:$B$86</definedName>
    <definedName name="GDJHFGJHFGJ" localSheetId="2">'[3]Prog y Sub MGMP'!$B$2:$B$86</definedName>
    <definedName name="GDJHFGJHFGJ" localSheetId="6">'[3]Prog y Sub MGMP'!$B$2:$B$86</definedName>
    <definedName name="GDJHFGJHFGJ" localSheetId="5">'[4]Prog y Sub MGMP'!$B$2:$B$86</definedName>
    <definedName name="GDJHFGJHFGJ" localSheetId="9">'[3]Prog y Sub MGMP'!$B$2:$B$86</definedName>
    <definedName name="GDJHFGJHFGJ" localSheetId="7">'[3]Prog y Sub MGMP'!$B$2:$B$86</definedName>
    <definedName name="GDJHFGJHFGJ" localSheetId="12">'[3]Prog y Sub MGMP'!$B$2:$B$86</definedName>
    <definedName name="GDJHFGJHFGJ">'[3]Prog y Sub MGMP'!$B$2:$B$86</definedName>
    <definedName name="Generales" localSheetId="11">#REF!</definedName>
    <definedName name="Generales" localSheetId="2">#REF!</definedName>
    <definedName name="Generales" localSheetId="6">#REF!</definedName>
    <definedName name="Generales" localSheetId="5">#REF!</definedName>
    <definedName name="Generales" localSheetId="9">#REF!</definedName>
    <definedName name="Generales" localSheetId="7">#REF!</definedName>
    <definedName name="Generales" localSheetId="12">#REF!</definedName>
    <definedName name="Generales">#REF!</definedName>
    <definedName name="GGGG" localSheetId="11">#REF!</definedName>
    <definedName name="GGGG" localSheetId="2">#REF!</definedName>
    <definedName name="GGGG" localSheetId="6">#REF!</definedName>
    <definedName name="GGGG" localSheetId="5">#REF!</definedName>
    <definedName name="GGGG" localSheetId="9">#REF!</definedName>
    <definedName name="GGGG" localSheetId="7">#REF!</definedName>
    <definedName name="GGGG" localSheetId="12">#REF!</definedName>
    <definedName name="GGGG">#REF!</definedName>
    <definedName name="gp" localSheetId="5">#REF!</definedName>
    <definedName name="gp" localSheetId="12">#REF!</definedName>
    <definedName name="gp">#REF!</definedName>
    <definedName name="HACIENDA">[1]Listas!$J$4:$J$40</definedName>
    <definedName name="hhhhhhhhhh" localSheetId="5">#REF!</definedName>
    <definedName name="hhhhhhhhhh" localSheetId="12">#REF!</definedName>
    <definedName name="hhhhhhhhhh">#REF!</definedName>
    <definedName name="IN" localSheetId="11">#REF!</definedName>
    <definedName name="IN" localSheetId="2">#REF!</definedName>
    <definedName name="IN" localSheetId="6">#REF!</definedName>
    <definedName name="IN" localSheetId="5">#REF!</definedName>
    <definedName name="IN" localSheetId="9">#REF!</definedName>
    <definedName name="IN" localSheetId="7">#REF!</definedName>
    <definedName name="IN" localSheetId="12">#REF!</definedName>
    <definedName name="IN">#REF!</definedName>
    <definedName name="Indice" localSheetId="11">#REF!</definedName>
    <definedName name="Indice" localSheetId="2">#REF!</definedName>
    <definedName name="Indice" localSheetId="6">#REF!</definedName>
    <definedName name="Indice" localSheetId="5">#REF!</definedName>
    <definedName name="Indice" localSheetId="9">#REF!</definedName>
    <definedName name="Indice" localSheetId="7">#REF!</definedName>
    <definedName name="Indice" localSheetId="12">#REF!</definedName>
    <definedName name="Indice">#REF!</definedName>
    <definedName name="Indice2">[5]Indice_Cod!$D$6:$E$224</definedName>
    <definedName name="INV" localSheetId="11">#REF!</definedName>
    <definedName name="INV" localSheetId="2">#REF!</definedName>
    <definedName name="INV" localSheetId="6">#REF!</definedName>
    <definedName name="INV" localSheetId="5">#REF!</definedName>
    <definedName name="INV" localSheetId="9">#REF!</definedName>
    <definedName name="INV" localSheetId="7">#REF!</definedName>
    <definedName name="INV" localSheetId="12">#REF!</definedName>
    <definedName name="INV">#REF!</definedName>
    <definedName name="ivan" localSheetId="5">#REF!</definedName>
    <definedName name="ivan" localSheetId="7">#REF!</definedName>
    <definedName name="ivan" localSheetId="12">#REF!</definedName>
    <definedName name="ivan">#REF!</definedName>
    <definedName name="jjjjjj">[2]Listas!$D$4:$D$9</definedName>
    <definedName name="jjjjjjjjj" localSheetId="11">#REF!</definedName>
    <definedName name="jjjjjjjjj" localSheetId="2">#REF!</definedName>
    <definedName name="jjjjjjjjj" localSheetId="6">#REF!</definedName>
    <definedName name="jjjjjjjjj" localSheetId="5">#REF!</definedName>
    <definedName name="jjjjjjjjj" localSheetId="9">#REF!</definedName>
    <definedName name="jjjjjjjjj" localSheetId="7">#REF!</definedName>
    <definedName name="jjjjjjjjj" localSheetId="12">#REF!</definedName>
    <definedName name="jjjjjjjjj">#REF!</definedName>
    <definedName name="JKHFJHK" localSheetId="11">#REF!</definedName>
    <definedName name="JKHFJHK" localSheetId="2">#REF!</definedName>
    <definedName name="JKHFJHK" localSheetId="6">#REF!</definedName>
    <definedName name="JKHFJHK" localSheetId="5">#REF!</definedName>
    <definedName name="JKHFJHK" localSheetId="9">#REF!</definedName>
    <definedName name="JKHFJHK" localSheetId="7">#REF!</definedName>
    <definedName name="JKHFJHK" localSheetId="12">#REF!</definedName>
    <definedName name="JKHFJHK">#REF!</definedName>
    <definedName name="jose1" localSheetId="5">#REF!</definedName>
    <definedName name="jose1" localSheetId="12">#REF!</definedName>
    <definedName name="jose1">#REF!</definedName>
    <definedName name="JOSE4528" localSheetId="11">#REF!</definedName>
    <definedName name="JOSE4528" localSheetId="2">#REF!</definedName>
    <definedName name="JOSE4528" localSheetId="6">#REF!</definedName>
    <definedName name="JOSE4528" localSheetId="5">#REF!</definedName>
    <definedName name="JOSE4528" localSheetId="9">#REF!</definedName>
    <definedName name="JOSE4528" localSheetId="7">#REF!</definedName>
    <definedName name="JOSE4528" localSheetId="12">#REF!</definedName>
    <definedName name="JOSE4528">#REF!</definedName>
    <definedName name="josema12" localSheetId="5">[2]OBLIGACIONES!$D$4:$D$9</definedName>
    <definedName name="josema12">[2]Listas!$D$4:$D$9</definedName>
    <definedName name="josemana" localSheetId="11">#REF!</definedName>
    <definedName name="josemana" localSheetId="2">#REF!</definedName>
    <definedName name="josemana" localSheetId="6">#REF!</definedName>
    <definedName name="josemana" localSheetId="5">#REF!</definedName>
    <definedName name="josemana" localSheetId="9">#REF!</definedName>
    <definedName name="josemana" localSheetId="7">#REF!</definedName>
    <definedName name="josemana" localSheetId="12">#REF!</definedName>
    <definedName name="josemana">#REF!</definedName>
    <definedName name="josemm">[1]Listas!$D$4:$D$9</definedName>
    <definedName name="JTYSD" localSheetId="11">#REF!</definedName>
    <definedName name="JTYSD" localSheetId="2">#REF!</definedName>
    <definedName name="JTYSD" localSheetId="6">#REF!</definedName>
    <definedName name="JTYSD" localSheetId="5">#REF!</definedName>
    <definedName name="JTYSD" localSheetId="9">#REF!</definedName>
    <definedName name="JTYSD" localSheetId="7">#REF!</definedName>
    <definedName name="JTYSD" localSheetId="12">#REF!</definedName>
    <definedName name="JTYSD">#REF!</definedName>
    <definedName name="KJHFG" localSheetId="11">#REF!</definedName>
    <definedName name="KJHFG" localSheetId="2">#REF!</definedName>
    <definedName name="KJHFG" localSheetId="6">#REF!</definedName>
    <definedName name="KJHFG" localSheetId="5">#REF!</definedName>
    <definedName name="KJHFG" localSheetId="9">#REF!</definedName>
    <definedName name="KJHFG" localSheetId="7">#REF!</definedName>
    <definedName name="KJHFG" localSheetId="12">#REF!</definedName>
    <definedName name="KJHFG">#REF!</definedName>
    <definedName name="KKK" localSheetId="5">[2]OBLIGACIONES!$C$4:$C$11</definedName>
    <definedName name="KKK">[2]Listas!$C$4:$C$11</definedName>
    <definedName name="KKKKKKK" localSheetId="5">#REF!</definedName>
    <definedName name="KKKKKKK" localSheetId="12">#REF!</definedName>
    <definedName name="KKKKKKK">#REF!</definedName>
    <definedName name="KKKKKKKK" localSheetId="5">[2]OBLIGACIONES!$B$4:$B$97</definedName>
    <definedName name="KKKKKKKK">[2]Listas!$B$4:$B$97</definedName>
    <definedName name="llllll23" localSheetId="11">#REF!</definedName>
    <definedName name="llllll23" localSheetId="2">#REF!</definedName>
    <definedName name="llllll23" localSheetId="6">#REF!</definedName>
    <definedName name="llllll23" localSheetId="5">#REF!</definedName>
    <definedName name="llllll23" localSheetId="9">#REF!</definedName>
    <definedName name="llllll23" localSheetId="7">#REF!</definedName>
    <definedName name="llllll23" localSheetId="12">#REF!</definedName>
    <definedName name="llllll23">#REF!</definedName>
    <definedName name="luis" localSheetId="5">#REF!</definedName>
    <definedName name="luis" localSheetId="12">#REF!</definedName>
    <definedName name="luis">#REF!</definedName>
    <definedName name="maria" localSheetId="5">[2]OBLIGACIONES!$E$4:$E$5</definedName>
    <definedName name="maria">[2]Listas!$E$4:$E$5</definedName>
    <definedName name="Mensaje">[1]Listas!$H$4:$H$7</definedName>
    <definedName name="mmmmm" localSheetId="11">#REF!</definedName>
    <definedName name="mmmmm" localSheetId="2">#REF!</definedName>
    <definedName name="mmmmm" localSheetId="6">#REF!</definedName>
    <definedName name="mmmmm" localSheetId="5">#REF!</definedName>
    <definedName name="mmmmm" localSheetId="9">#REF!</definedName>
    <definedName name="mmmmm" localSheetId="7">#REF!</definedName>
    <definedName name="mmmmm" localSheetId="12">#REF!</definedName>
    <definedName name="mmmmm">#REF!</definedName>
    <definedName name="mmmmmm" localSheetId="11">#REF!</definedName>
    <definedName name="mmmmmm" localSheetId="2">#REF!</definedName>
    <definedName name="mmmmmm" localSheetId="6">#REF!</definedName>
    <definedName name="mmmmmm" localSheetId="5">#REF!</definedName>
    <definedName name="mmmmmm" localSheetId="9">#REF!</definedName>
    <definedName name="mmmmmm" localSheetId="7">#REF!</definedName>
    <definedName name="mmmmmm" localSheetId="12">#REF!</definedName>
    <definedName name="mmmmmm">#REF!</definedName>
    <definedName name="mmmmmmjj" localSheetId="11">#REF!</definedName>
    <definedName name="mmmmmmjj" localSheetId="2">#REF!</definedName>
    <definedName name="mmmmmmjj" localSheetId="6">#REF!</definedName>
    <definedName name="mmmmmmjj" localSheetId="5">#REF!</definedName>
    <definedName name="mmmmmmjj" localSheetId="9">#REF!</definedName>
    <definedName name="mmmmmmjj" localSheetId="7">#REF!</definedName>
    <definedName name="mmmmmmjj" localSheetId="12">#REF!</definedName>
    <definedName name="mmmmmmjj">#REF!</definedName>
    <definedName name="mmmmmmm">[2]Listas!$D$4:$D$9</definedName>
    <definedName name="MMMMMMMM" localSheetId="5">#REF!</definedName>
    <definedName name="MMMMMMMM" localSheetId="12">#REF!</definedName>
    <definedName name="MMMMMMMM">#REF!</definedName>
    <definedName name="MMMMMMMMMM" localSheetId="5">[2]OBLIGACIONES!$E$4:$E$5</definedName>
    <definedName name="MMMMMMMMMM">[2]Listas!$E$4:$E$5</definedName>
    <definedName name="no" localSheetId="5">[2]OBLIGACIONES!$C$4:$C$11</definedName>
    <definedName name="no">[2]Listas!$C$4:$C$11</definedName>
    <definedName name="ñññññ" localSheetId="5">#REF!</definedName>
    <definedName name="ñññññ" localSheetId="7">#REF!</definedName>
    <definedName name="ñññññ" localSheetId="12">#REF!</definedName>
    <definedName name="ñññññ">#REF!</definedName>
    <definedName name="ññññññ" localSheetId="11">#REF!</definedName>
    <definedName name="ññññññ" localSheetId="2">#REF!</definedName>
    <definedName name="ññññññ" localSheetId="6">#REF!</definedName>
    <definedName name="ññññññ" localSheetId="5">#REF!</definedName>
    <definedName name="ññññññ" localSheetId="9">#REF!</definedName>
    <definedName name="ññññññ" localSheetId="7">#REF!</definedName>
    <definedName name="ññññññ" localSheetId="12">#REF!</definedName>
    <definedName name="ññññññ">#REF!</definedName>
    <definedName name="ñññññññ" localSheetId="11">#REF!</definedName>
    <definedName name="ñññññññ" localSheetId="2">#REF!</definedName>
    <definedName name="ñññññññ" localSheetId="6">#REF!</definedName>
    <definedName name="ñññññññ" localSheetId="5">#REF!</definedName>
    <definedName name="ñññññññ" localSheetId="9">#REF!</definedName>
    <definedName name="ñññññññ" localSheetId="7">#REF!</definedName>
    <definedName name="ñññññññ" localSheetId="12">#REF!</definedName>
    <definedName name="ñññññññ">#REF!</definedName>
    <definedName name="objetivospnd">[1]Listas!$O$4:$O$10</definedName>
    <definedName name="ooooooo" localSheetId="11">#REF!</definedName>
    <definedName name="ooooooo" localSheetId="2">#REF!</definedName>
    <definedName name="ooooooo" localSheetId="6">#REF!</definedName>
    <definedName name="ooooooo" localSheetId="5">#REF!</definedName>
    <definedName name="ooooooo" localSheetId="9">#REF!</definedName>
    <definedName name="ooooooo" localSheetId="7">#REF!</definedName>
    <definedName name="ooooooo" localSheetId="12">#REF!</definedName>
    <definedName name="ooooooo">#REF!</definedName>
    <definedName name="OTROS">[6]Datos!$A$31:$A$34</definedName>
    <definedName name="paraco40" localSheetId="11">#REF!</definedName>
    <definedName name="paraco40" localSheetId="2">#REF!</definedName>
    <definedName name="paraco40" localSheetId="6">#REF!</definedName>
    <definedName name="paraco40" localSheetId="5">#REF!</definedName>
    <definedName name="paraco40" localSheetId="9">#REF!</definedName>
    <definedName name="paraco40" localSheetId="7">#REF!</definedName>
    <definedName name="paraco40" localSheetId="12">#REF!</definedName>
    <definedName name="paraco40">#REF!</definedName>
    <definedName name="parate30">[2]Listas!$B$4:$B$97</definedName>
    <definedName name="parate40">[2]Listas!$C$4:$C$11</definedName>
    <definedName name="pppppp">[1]Listas!$B$4:$B$97</definedName>
    <definedName name="programa" localSheetId="11">'[3]Prog y Sub MGMP'!$B$2:$B$86</definedName>
    <definedName name="programa" localSheetId="2">'[3]Prog y Sub MGMP'!$B$2:$B$86</definedName>
    <definedName name="programa" localSheetId="6">'[3]Prog y Sub MGMP'!$B$2:$B$86</definedName>
    <definedName name="programa" localSheetId="5">'[7]Prog y Sub MGMP'!$B$2:$B$86</definedName>
    <definedName name="programa" localSheetId="9">'[3]Prog y Sub MGMP'!$B$2:$B$86</definedName>
    <definedName name="programa" localSheetId="7">'[3]Prog y Sub MGMP'!$B$2:$B$86</definedName>
    <definedName name="programa" localSheetId="12">'[3]Prog y Sub MGMP'!$B$2:$B$86</definedName>
    <definedName name="programa">'[3]Prog y Sub MGMP'!$B$2:$B$86</definedName>
    <definedName name="qqqqqqqq" localSheetId="5">[2]OBLIGACIONES!$C$4:$C$11</definedName>
    <definedName name="qqqqqqqq">[2]Listas!$C$4:$C$11</definedName>
    <definedName name="Respuestas" localSheetId="11">#REF!</definedName>
    <definedName name="Respuestas" localSheetId="6">#REF!</definedName>
    <definedName name="Respuestas" localSheetId="5">#REF!</definedName>
    <definedName name="Respuestas" localSheetId="12">#REF!</definedName>
    <definedName name="Respuestas">#REF!</definedName>
    <definedName name="RFGAERGER" localSheetId="11">#REF!</definedName>
    <definedName name="RFGAERGER" localSheetId="2">#REF!</definedName>
    <definedName name="RFGAERGER" localSheetId="6">#REF!</definedName>
    <definedName name="RFGAERGER" localSheetId="5">#REF!</definedName>
    <definedName name="RFGAERGER" localSheetId="9">#REF!</definedName>
    <definedName name="RFGAERGER" localSheetId="7">#REF!</definedName>
    <definedName name="RFGAERGER" localSheetId="12">#REF!</definedName>
    <definedName name="RFGAERGER">#REF!</definedName>
    <definedName name="rrrrrr" localSheetId="5">#REF!</definedName>
    <definedName name="rrrrrr" localSheetId="7">#REF!</definedName>
    <definedName name="rrrrrr" localSheetId="12">#REF!</definedName>
    <definedName name="rrrrrr">#REF!</definedName>
    <definedName name="SDAFGARGDFG" localSheetId="11">#REF!</definedName>
    <definedName name="SDAFGARGDFG" localSheetId="2">#REF!</definedName>
    <definedName name="SDAFGARGDFG" localSheetId="6">#REF!</definedName>
    <definedName name="SDAFGARGDFG" localSheetId="5">#REF!</definedName>
    <definedName name="SDAFGARGDFG" localSheetId="9">#REF!</definedName>
    <definedName name="SDAFGARGDFG" localSheetId="7">#REF!</definedName>
    <definedName name="SDAFGARGDFG" localSheetId="12">#REF!</definedName>
    <definedName name="SDAFGARGDFG">#REF!</definedName>
    <definedName name="Sector">[1]Listas!$A$4:$A$17</definedName>
    <definedName name="sectoresagregados">[1]Listas!$R$4:$R$11</definedName>
    <definedName name="SG" localSheetId="11">#REF!</definedName>
    <definedName name="SG" localSheetId="2">#REF!</definedName>
    <definedName name="SG" localSheetId="6">#REF!</definedName>
    <definedName name="SG" localSheetId="5">#REF!</definedName>
    <definedName name="SG" localSheetId="9">#REF!</definedName>
    <definedName name="SG" localSheetId="7">#REF!</definedName>
    <definedName name="SG" localSheetId="12">#REF!</definedName>
    <definedName name="SG">#REF!</definedName>
    <definedName name="ssssssss">[2]Listas!$B$4:$B$97</definedName>
    <definedName name="subprograma" localSheetId="11">'[3]Prog y Sub MGMP'!$C$2:$C$63</definedName>
    <definedName name="subprograma" localSheetId="2">'[3]Prog y Sub MGMP'!$C$2:$C$63</definedName>
    <definedName name="subprograma" localSheetId="6">'[3]Prog y Sub MGMP'!$C$2:$C$63</definedName>
    <definedName name="subprograma" localSheetId="5">'[7]Prog y Sub MGMP'!$C$2:$C$63</definedName>
    <definedName name="subprograma" localSheetId="9">'[3]Prog y Sub MGMP'!$C$2:$C$63</definedName>
    <definedName name="subprograma" localSheetId="7">'[3]Prog y Sub MGMP'!$C$2:$C$63</definedName>
    <definedName name="subprograma" localSheetId="12">'[3]Prog y Sub MGMP'!$C$2:$C$63</definedName>
    <definedName name="subprograma">'[3]Prog y Sub MGMP'!$C$2:$C$63</definedName>
    <definedName name="Tipo_Credito" localSheetId="11">#REF!</definedName>
    <definedName name="Tipo_Credito" localSheetId="6">#REF!</definedName>
    <definedName name="Tipo_Credito" localSheetId="5">#REF!</definedName>
    <definedName name="Tipo_Credito" localSheetId="12">#REF!</definedName>
    <definedName name="Tipo_Credito">#REF!</definedName>
    <definedName name="_xlnm.Print_Titles">#N/A</definedName>
    <definedName name="TRYTRY" localSheetId="11">#REF!</definedName>
    <definedName name="TRYTRY" localSheetId="2">#REF!</definedName>
    <definedName name="TRYTRY" localSheetId="6">#REF!</definedName>
    <definedName name="TRYTRY" localSheetId="5">#REF!</definedName>
    <definedName name="TRYTRY" localSheetId="9">#REF!</definedName>
    <definedName name="TRYTRY" localSheetId="7">#REF!</definedName>
    <definedName name="TRYTRY" localSheetId="12">#REF!</definedName>
    <definedName name="TRYTRY">#REF!</definedName>
    <definedName name="TTTTTTT" localSheetId="11">#REF!</definedName>
    <definedName name="TTTTTTT" localSheetId="2">#REF!</definedName>
    <definedName name="TTTTTTT" localSheetId="6">#REF!</definedName>
    <definedName name="TTTTTTT" localSheetId="5">#REF!</definedName>
    <definedName name="TTTTTTT" localSheetId="9">#REF!</definedName>
    <definedName name="TTTTTTT" localSheetId="7">#REF!</definedName>
    <definedName name="TTTTTTT" localSheetId="12">#REF!</definedName>
    <definedName name="TTTTTTT">#REF!</definedName>
    <definedName name="ttttttttt56" localSheetId="11">#REF!</definedName>
    <definedName name="ttttttttt56" localSheetId="2">#REF!</definedName>
    <definedName name="ttttttttt56" localSheetId="6">#REF!</definedName>
    <definedName name="ttttttttt56" localSheetId="5">#REF!</definedName>
    <definedName name="ttttttttt56" localSheetId="9">#REF!</definedName>
    <definedName name="ttttttttt56" localSheetId="7">#REF!</definedName>
    <definedName name="ttttttttt56" localSheetId="12">#REF!</definedName>
    <definedName name="ttttttttt56">#REF!</definedName>
    <definedName name="uhuhuhuh">[2]Listas!$B$4:$B$97</definedName>
    <definedName name="vart" localSheetId="5">[2]OBLIGACIONES!$B$4:$B$97</definedName>
    <definedName name="vart">[2]Listas!$B$4:$B$97</definedName>
    <definedName name="vvv" localSheetId="5">#REF!</definedName>
    <definedName name="vvv" localSheetId="7">#REF!</definedName>
    <definedName name="vvv" localSheetId="12">#REF!</definedName>
    <definedName name="vvv">#REF!</definedName>
    <definedName name="VVVV" localSheetId="5">#REF!</definedName>
    <definedName name="VVVV" localSheetId="12">#REF!</definedName>
    <definedName name="VVVV">#REF!</definedName>
    <definedName name="wwwww" localSheetId="5">#REF!</definedName>
    <definedName name="wwwww" localSheetId="7">#REF!</definedName>
    <definedName name="wwwww" localSheetId="12">#REF!</definedName>
    <definedName name="wwwww">#REF!</definedName>
    <definedName name="wwwwwww8" localSheetId="11">#REF!</definedName>
    <definedName name="wwwwwww8" localSheetId="2">#REF!</definedName>
    <definedName name="wwwwwww8" localSheetId="6">#REF!</definedName>
    <definedName name="wwwwwww8" localSheetId="5">#REF!</definedName>
    <definedName name="wwwwwww8" localSheetId="9">#REF!</definedName>
    <definedName name="wwwwwww8" localSheetId="7">#REF!</definedName>
    <definedName name="wwwwwww8" localSheetId="12">#REF!</definedName>
    <definedName name="wwwwwww8">#REF!</definedName>
    <definedName name="wwwwwwww">[2]Listas!$C$4:$C$11</definedName>
    <definedName name="xcvfght" localSheetId="5">[2]OBLIGACIONES!$E$4:$E$5</definedName>
    <definedName name="xcvfght">[2]Listas!$E$4:$E$5</definedName>
    <definedName name="XXXXXX">[2]Listas!$E$4:$E$5</definedName>
    <definedName name="yhyhyh" localSheetId="11">#REF!</definedName>
    <definedName name="yhyhyh" localSheetId="2">#REF!</definedName>
    <definedName name="yhyhyh" localSheetId="6">#REF!</definedName>
    <definedName name="yhyhyh" localSheetId="5">#REF!</definedName>
    <definedName name="yhyhyh" localSheetId="9">#REF!</definedName>
    <definedName name="yhyhyh" localSheetId="7">#REF!</definedName>
    <definedName name="yhyhyh" localSheetId="12">#REF!</definedName>
    <definedName name="yhyhyh">#REF!</definedName>
    <definedName name="yyyyyy">[1]Listas!$B$4:$B$97</definedName>
    <definedName name="YYYYYY50">[2]Listas!$E$4:$E$5</definedName>
    <definedName name="yyyyyyy">[2]Listas!$D$4:$D$9</definedName>
    <definedName name="yyyyyyy5" localSheetId="11">#REF!</definedName>
    <definedName name="yyyyyyy5" localSheetId="2">#REF!</definedName>
    <definedName name="yyyyyyy5" localSheetId="6">#REF!</definedName>
    <definedName name="yyyyyyy5" localSheetId="5">#REF!</definedName>
    <definedName name="yyyyyyy5" localSheetId="9">#REF!</definedName>
    <definedName name="yyyyyyy5" localSheetId="7">#REF!</definedName>
    <definedName name="yyyyyyy5" localSheetId="12">#REF!</definedName>
    <definedName name="yyyyyyy5">#REF!</definedName>
    <definedName name="yyyyyyyy" localSheetId="5">#REF!</definedName>
    <definedName name="yyyyyyyy" localSheetId="7">#REF!</definedName>
    <definedName name="yyyyyyyy" localSheetId="12">#REF!</definedName>
    <definedName name="yyyyyyyy">#REF!</definedName>
    <definedName name="zzzzzzzzzzzz4" localSheetId="5">#REF!</definedName>
    <definedName name="zzzzzzzzzzzz4" localSheetId="7">#REF!</definedName>
    <definedName name="zzzzzzzzzzzz4" localSheetId="12">#REF!</definedName>
    <definedName name="zzzzzzzzzzzz4">#REF!</definedName>
    <definedName name="zzzzzzzzzzzzzzzzzz" localSheetId="5">#REF!</definedName>
    <definedName name="zzzzzzzzzzzzzzzzzz" localSheetId="7">#REF!</definedName>
    <definedName name="zzzzzzzzzzzzzzzzzz" localSheetId="12">#REF!</definedName>
    <definedName name="zzzzzzzzzzzzzzzzzz">#REF!</definedName>
  </definedNames>
  <calcPr calcId="152511"/>
</workbook>
</file>

<file path=xl/calcChain.xml><?xml version="1.0" encoding="utf-8"?>
<calcChain xmlns="http://schemas.openxmlformats.org/spreadsheetml/2006/main">
  <c r="AG211" i="97" l="1"/>
  <c r="AE211" i="97"/>
  <c r="AC211" i="97"/>
  <c r="AJ211" i="97" s="1"/>
  <c r="K211" i="97"/>
  <c r="AG210" i="97"/>
  <c r="AE210" i="97"/>
  <c r="AC210" i="97"/>
  <c r="K210" i="97"/>
  <c r="AJ210" i="97" s="1"/>
  <c r="AG209" i="97"/>
  <c r="AE209" i="97"/>
  <c r="AC209" i="97"/>
  <c r="AJ209" i="97" s="1"/>
  <c r="K209" i="97"/>
  <c r="AE208" i="97"/>
  <c r="AC208" i="97"/>
  <c r="AE207" i="97"/>
  <c r="AC207" i="97"/>
  <c r="C207" i="97"/>
  <c r="AI206" i="97"/>
  <c r="AG206" i="97"/>
  <c r="AE206" i="97"/>
  <c r="AC206" i="97"/>
  <c r="K206" i="97"/>
  <c r="AJ206" i="97" s="1"/>
  <c r="AI205" i="97"/>
  <c r="AG205" i="97"/>
  <c r="AE205" i="97"/>
  <c r="AC205" i="97"/>
  <c r="AJ205" i="97" s="1"/>
  <c r="K205" i="97"/>
  <c r="AI204" i="97"/>
  <c r="AG204" i="97"/>
  <c r="AE204" i="97"/>
  <c r="AC204" i="97"/>
  <c r="AJ204" i="97" s="1"/>
  <c r="AK204" i="97" s="1"/>
  <c r="K204" i="97"/>
  <c r="AI203" i="97"/>
  <c r="AG203" i="97"/>
  <c r="AE203" i="97"/>
  <c r="AC203" i="97"/>
  <c r="K203" i="97"/>
  <c r="AJ203" i="97" s="1"/>
  <c r="AI202" i="97"/>
  <c r="AG202" i="97"/>
  <c r="AE202" i="97"/>
  <c r="AC202" i="97"/>
  <c r="AJ202" i="97" s="1"/>
  <c r="K202" i="97"/>
  <c r="AI201" i="97"/>
  <c r="AG201" i="97"/>
  <c r="AE201" i="97"/>
  <c r="AC201" i="97"/>
  <c r="K201" i="97"/>
  <c r="AJ201" i="97" s="1"/>
  <c r="AI200" i="97"/>
  <c r="AG200" i="97"/>
  <c r="AE200" i="97"/>
  <c r="AC200" i="97"/>
  <c r="AJ200" i="97" s="1"/>
  <c r="K200" i="97"/>
  <c r="AI199" i="97"/>
  <c r="AG199" i="97"/>
  <c r="AE199" i="97"/>
  <c r="AC199" i="97"/>
  <c r="K199" i="97"/>
  <c r="AJ199" i="97" s="1"/>
  <c r="I199" i="97"/>
  <c r="AI198" i="97"/>
  <c r="AG198" i="97"/>
  <c r="AE198" i="97"/>
  <c r="AC198" i="97"/>
  <c r="AJ198" i="97" s="1"/>
  <c r="K198" i="97"/>
  <c r="C195" i="97"/>
  <c r="AI189" i="97"/>
  <c r="AG189" i="97"/>
  <c r="AE189" i="97"/>
  <c r="AC189" i="97"/>
  <c r="AJ189" i="97" s="1"/>
  <c r="AA189" i="97"/>
  <c r="H189" i="97"/>
  <c r="AI168" i="97"/>
  <c r="AG168" i="97"/>
  <c r="AE168" i="97"/>
  <c r="AC168" i="97"/>
  <c r="AA168" i="97"/>
  <c r="AJ168" i="97" s="1"/>
  <c r="H168" i="97"/>
  <c r="AI167" i="97"/>
  <c r="AG167" i="97"/>
  <c r="AE167" i="97"/>
  <c r="AC167" i="97"/>
  <c r="AA167" i="97"/>
  <c r="AJ167" i="97" s="1"/>
  <c r="AI157" i="97"/>
  <c r="AG157" i="97"/>
  <c r="AE157" i="97"/>
  <c r="AC157" i="97"/>
  <c r="AJ157" i="97" s="1"/>
  <c r="AA157" i="97"/>
  <c r="H157" i="97"/>
  <c r="AI156" i="97"/>
  <c r="AG156" i="97"/>
  <c r="AE156" i="97"/>
  <c r="AC156" i="97"/>
  <c r="AA156" i="97"/>
  <c r="AJ156" i="97" s="1"/>
  <c r="C155" i="97"/>
  <c r="AI149" i="97"/>
  <c r="AJ149" i="97" s="1"/>
  <c r="AG149" i="97"/>
  <c r="AE149" i="97"/>
  <c r="AC149" i="97"/>
  <c r="AA149" i="97"/>
  <c r="H149" i="97"/>
  <c r="AI147" i="97"/>
  <c r="AG147" i="97"/>
  <c r="AE147" i="97"/>
  <c r="AJ147" i="97" s="1"/>
  <c r="AC147" i="97"/>
  <c r="AA147" i="97"/>
  <c r="AI146" i="97"/>
  <c r="AJ146" i="97" s="1"/>
  <c r="AG146" i="97"/>
  <c r="AE146" i="97"/>
  <c r="AC146" i="97"/>
  <c r="AA146" i="97"/>
  <c r="AI141" i="97"/>
  <c r="AJ141" i="97" s="1"/>
  <c r="AG141" i="97"/>
  <c r="AE141" i="97"/>
  <c r="AC141" i="97"/>
  <c r="AA141" i="97"/>
  <c r="H141" i="97"/>
  <c r="AI135" i="97"/>
  <c r="AG135" i="97"/>
  <c r="AE135" i="97"/>
  <c r="AC135" i="97"/>
  <c r="AJ135" i="97" s="1"/>
  <c r="AA135" i="97"/>
  <c r="H135" i="97"/>
  <c r="AI129" i="97"/>
  <c r="AJ129" i="97" s="1"/>
  <c r="AG129" i="97"/>
  <c r="AE129" i="97"/>
  <c r="AC129" i="97"/>
  <c r="AA129" i="97"/>
  <c r="H129" i="97"/>
  <c r="C128" i="97"/>
  <c r="AI118" i="97"/>
  <c r="AG118" i="97"/>
  <c r="AE118" i="97"/>
  <c r="AC118" i="97"/>
  <c r="K118" i="97"/>
  <c r="AJ118" i="97" s="1"/>
  <c r="AG116" i="97"/>
  <c r="AE116" i="97"/>
  <c r="AC116" i="97"/>
  <c r="K116" i="97"/>
  <c r="AJ116" i="97" s="1"/>
  <c r="AG114" i="97"/>
  <c r="J114" i="97"/>
  <c r="I114" i="97"/>
  <c r="H114" i="97"/>
  <c r="G114" i="97"/>
  <c r="AI114" i="97" s="1"/>
  <c r="J113" i="97"/>
  <c r="I113" i="97"/>
  <c r="H113" i="97"/>
  <c r="G113" i="97"/>
  <c r="AC113" i="97" s="1"/>
  <c r="AE112" i="97"/>
  <c r="J112" i="97"/>
  <c r="I112" i="97"/>
  <c r="H112" i="97"/>
  <c r="G112" i="97"/>
  <c r="AG112" i="97" s="1"/>
  <c r="J111" i="97"/>
  <c r="I111" i="97"/>
  <c r="H111" i="97"/>
  <c r="G111" i="97"/>
  <c r="AC111" i="97" s="1"/>
  <c r="AI109" i="97"/>
  <c r="AG109" i="97"/>
  <c r="AE109" i="97"/>
  <c r="K109" i="97"/>
  <c r="AJ109" i="97" s="1"/>
  <c r="AI108" i="97"/>
  <c r="AG108" i="97"/>
  <c r="AE108" i="97"/>
  <c r="K108" i="97"/>
  <c r="AJ108" i="97" s="1"/>
  <c r="AI107" i="97"/>
  <c r="AG107" i="97"/>
  <c r="AE107" i="97"/>
  <c r="K107" i="97"/>
  <c r="AJ107" i="97" s="1"/>
  <c r="AI106" i="97"/>
  <c r="AG106" i="97"/>
  <c r="AE106" i="97"/>
  <c r="K106" i="97"/>
  <c r="AJ106" i="97" s="1"/>
  <c r="AI105" i="97"/>
  <c r="AG105" i="97"/>
  <c r="AE105" i="97"/>
  <c r="K105" i="97"/>
  <c r="AJ105" i="97" s="1"/>
  <c r="AI104" i="97"/>
  <c r="AG104" i="97"/>
  <c r="AE104" i="97"/>
  <c r="AC104" i="97"/>
  <c r="K104" i="97"/>
  <c r="AJ104" i="97" s="1"/>
  <c r="AK104" i="97" s="1"/>
  <c r="AE103" i="97"/>
  <c r="G103" i="97"/>
  <c r="AG103" i="97" s="1"/>
  <c r="AI102" i="97"/>
  <c r="AG102" i="97"/>
  <c r="AE102" i="97"/>
  <c r="K102" i="97"/>
  <c r="AJ102" i="97" s="1"/>
  <c r="AI101" i="97"/>
  <c r="AG101" i="97"/>
  <c r="AE101" i="97"/>
  <c r="AC101" i="97"/>
  <c r="K101" i="97"/>
  <c r="AJ101" i="97" s="1"/>
  <c r="AI100" i="97"/>
  <c r="AG100" i="97"/>
  <c r="AE100" i="97"/>
  <c r="K100" i="97"/>
  <c r="AJ100" i="97" s="1"/>
  <c r="AI99" i="97"/>
  <c r="AG99" i="97"/>
  <c r="AE99" i="97"/>
  <c r="K99" i="97"/>
  <c r="AJ99" i="97" s="1"/>
  <c r="AI98" i="97"/>
  <c r="AG98" i="97"/>
  <c r="AE98" i="97"/>
  <c r="AC98" i="97"/>
  <c r="K98" i="97"/>
  <c r="AJ98" i="97" s="1"/>
  <c r="AI97" i="97"/>
  <c r="AG97" i="97"/>
  <c r="AE97" i="97"/>
  <c r="AC97" i="97"/>
  <c r="K97" i="97"/>
  <c r="AJ97" i="97" s="1"/>
  <c r="AI96" i="97"/>
  <c r="AG96" i="97"/>
  <c r="AE96" i="97"/>
  <c r="K96" i="97"/>
  <c r="AJ96" i="97" s="1"/>
  <c r="AI95" i="97"/>
  <c r="AG95" i="97"/>
  <c r="AE95" i="97"/>
  <c r="AC95" i="97"/>
  <c r="K95" i="97"/>
  <c r="AJ95" i="97" s="1"/>
  <c r="AI94" i="97"/>
  <c r="AG94" i="97"/>
  <c r="AE94" i="97"/>
  <c r="AC94" i="97"/>
  <c r="AJ94" i="97" s="1"/>
  <c r="K94" i="97"/>
  <c r="AI93" i="97"/>
  <c r="AG93" i="97"/>
  <c r="AE93" i="97"/>
  <c r="AC93" i="97"/>
  <c r="AJ93" i="97" s="1"/>
  <c r="K93" i="97"/>
  <c r="AI92" i="97"/>
  <c r="AG92" i="97"/>
  <c r="AE92" i="97"/>
  <c r="AC92" i="97"/>
  <c r="AJ92" i="97" s="1"/>
  <c r="K92" i="97"/>
  <c r="AI91" i="97"/>
  <c r="AG91" i="97"/>
  <c r="AE91" i="97"/>
  <c r="AC91" i="97"/>
  <c r="AJ91" i="97" s="1"/>
  <c r="K91" i="97"/>
  <c r="K89" i="97"/>
  <c r="J89" i="97"/>
  <c r="G89" i="97"/>
  <c r="AE89" i="97" s="1"/>
  <c r="AI88" i="97"/>
  <c r="AG88" i="97"/>
  <c r="AE88" i="97"/>
  <c r="K88" i="97"/>
  <c r="AJ88" i="97" s="1"/>
  <c r="AI87" i="97"/>
  <c r="AG87" i="97"/>
  <c r="AC87" i="97"/>
  <c r="AJ87" i="97" s="1"/>
  <c r="K87" i="97"/>
  <c r="J87" i="97"/>
  <c r="G87" i="97"/>
  <c r="AE87" i="97" s="1"/>
  <c r="AI86" i="97"/>
  <c r="AG86" i="97"/>
  <c r="AC86" i="97"/>
  <c r="AJ86" i="97" s="1"/>
  <c r="K86" i="97"/>
  <c r="J86" i="97"/>
  <c r="G86" i="97"/>
  <c r="AE86" i="97" s="1"/>
  <c r="AI85" i="97"/>
  <c r="AG85" i="97"/>
  <c r="AC85" i="97"/>
  <c r="AJ85" i="97" s="1"/>
  <c r="K85" i="97"/>
  <c r="J85" i="97"/>
  <c r="G85" i="97"/>
  <c r="AE85" i="97" s="1"/>
  <c r="C82" i="97"/>
  <c r="AI81" i="97"/>
  <c r="AG81" i="97"/>
  <c r="AE81" i="97"/>
  <c r="K81" i="97"/>
  <c r="AJ81" i="97" s="1"/>
  <c r="AI80" i="97"/>
  <c r="AG80" i="97"/>
  <c r="AE80" i="97"/>
  <c r="K80" i="97"/>
  <c r="AJ80" i="97" s="1"/>
  <c r="C72" i="97"/>
  <c r="C69" i="97"/>
  <c r="AI68" i="97"/>
  <c r="AE68" i="97"/>
  <c r="AA68" i="97"/>
  <c r="G68" i="97"/>
  <c r="AG68" i="97" s="1"/>
  <c r="K67" i="97"/>
  <c r="G67" i="97"/>
  <c r="AI64" i="97"/>
  <c r="AG64" i="97"/>
  <c r="AE64" i="97"/>
  <c r="AC64" i="97"/>
  <c r="AJ64" i="97" s="1"/>
  <c r="AA64" i="97"/>
  <c r="Y64" i="97"/>
  <c r="K64" i="97"/>
  <c r="AI63" i="97"/>
  <c r="AG63" i="97"/>
  <c r="AE63" i="97"/>
  <c r="AC63" i="97"/>
  <c r="AJ63" i="97" s="1"/>
  <c r="AA63" i="97"/>
  <c r="K63" i="97"/>
  <c r="K62" i="97"/>
  <c r="AI60" i="97"/>
  <c r="AG60" i="97"/>
  <c r="AE60" i="97"/>
  <c r="AC60" i="97"/>
  <c r="AJ60" i="97" s="1"/>
  <c r="AA60" i="97"/>
  <c r="K59" i="97"/>
  <c r="AI58" i="97"/>
  <c r="AG58" i="97"/>
  <c r="AE58" i="97"/>
  <c r="AC58" i="97"/>
  <c r="AA58" i="97"/>
  <c r="AJ58" i="97" s="1"/>
  <c r="Y58" i="97"/>
  <c r="K58" i="97"/>
  <c r="AI57" i="97"/>
  <c r="AG57" i="97"/>
  <c r="AE57" i="97"/>
  <c r="AC57" i="97"/>
  <c r="AA57" i="97"/>
  <c r="AJ57" i="97" s="1"/>
  <c r="K57" i="97"/>
  <c r="K56" i="97"/>
  <c r="AK54" i="97"/>
  <c r="AJ54" i="97"/>
  <c r="Y52" i="97"/>
  <c r="W52" i="97"/>
  <c r="U52" i="97"/>
  <c r="S52" i="97"/>
  <c r="Q52" i="97"/>
  <c r="AJ52" i="97" s="1"/>
  <c r="Y51" i="97"/>
  <c r="W51" i="97"/>
  <c r="U51" i="97"/>
  <c r="S51" i="97"/>
  <c r="Q51" i="97"/>
  <c r="AJ51" i="97" s="1"/>
  <c r="AI49" i="97"/>
  <c r="AG49" i="97"/>
  <c r="AE49" i="97"/>
  <c r="AC49" i="97"/>
  <c r="AA49" i="97"/>
  <c r="Y49" i="97"/>
  <c r="W49" i="97"/>
  <c r="U49" i="97"/>
  <c r="AJ49" i="97" s="1"/>
  <c r="AG48" i="97"/>
  <c r="Y48" i="97"/>
  <c r="G48" i="97"/>
  <c r="AE48" i="97" s="1"/>
  <c r="AI46" i="97"/>
  <c r="AG46" i="97"/>
  <c r="AE46" i="97"/>
  <c r="AC46" i="97"/>
  <c r="AA46" i="97"/>
  <c r="Y46" i="97"/>
  <c r="W46" i="97"/>
  <c r="U46" i="97"/>
  <c r="AJ46" i="97" s="1"/>
  <c r="AK46" i="97" s="1"/>
  <c r="AG45" i="97"/>
  <c r="Y45" i="97"/>
  <c r="G45" i="97"/>
  <c r="AE45" i="97" s="1"/>
  <c r="AK43" i="97"/>
  <c r="AI43" i="97"/>
  <c r="AG43" i="97"/>
  <c r="AE43" i="97"/>
  <c r="AC43" i="97"/>
  <c r="AA43" i="97"/>
  <c r="Y43" i="97"/>
  <c r="W43" i="97"/>
  <c r="U43" i="97"/>
  <c r="AJ43" i="97" s="1"/>
  <c r="AI42" i="97"/>
  <c r="AG42" i="97"/>
  <c r="AE42" i="97"/>
  <c r="AC42" i="97"/>
  <c r="AA42" i="97"/>
  <c r="Y42" i="97"/>
  <c r="W42" i="97"/>
  <c r="U42" i="97"/>
  <c r="AJ42" i="97" s="1"/>
  <c r="AK40" i="97"/>
  <c r="AI40" i="97"/>
  <c r="AG40" i="97"/>
  <c r="AE40" i="97"/>
  <c r="AC40" i="97"/>
  <c r="AA40" i="97"/>
  <c r="Y40" i="97"/>
  <c r="W40" i="97"/>
  <c r="U40" i="97"/>
  <c r="AJ40" i="97" s="1"/>
  <c r="AG39" i="97"/>
  <c r="AC39" i="97"/>
  <c r="Y39" i="97"/>
  <c r="U39" i="97"/>
  <c r="G39" i="97"/>
  <c r="AK39" i="97" s="1"/>
  <c r="AI37" i="97"/>
  <c r="AG37" i="97"/>
  <c r="AE37" i="97"/>
  <c r="AA37" i="97"/>
  <c r="AJ37" i="97" s="1"/>
  <c r="K37" i="97"/>
  <c r="AI36" i="97"/>
  <c r="AG36" i="97"/>
  <c r="AE36" i="97"/>
  <c r="AA36" i="97"/>
  <c r="AJ36" i="97" s="1"/>
  <c r="K36" i="97"/>
  <c r="AI34" i="97"/>
  <c r="AG34" i="97"/>
  <c r="AE34" i="97"/>
  <c r="AC34" i="97"/>
  <c r="AA34" i="97"/>
  <c r="Y34" i="97"/>
  <c r="W34" i="97"/>
  <c r="U34" i="97"/>
  <c r="AJ34" i="97" s="1"/>
  <c r="AG33" i="97"/>
  <c r="AC33" i="97"/>
  <c r="Y33" i="97"/>
  <c r="W33" i="97"/>
  <c r="U33" i="97"/>
  <c r="G33" i="97"/>
  <c r="AK33" i="97" s="1"/>
  <c r="AI31" i="97"/>
  <c r="AG31" i="97"/>
  <c r="AE31" i="97"/>
  <c r="AC31" i="97"/>
  <c r="AA31" i="97"/>
  <c r="Y31" i="97"/>
  <c r="W31" i="97"/>
  <c r="U31" i="97"/>
  <c r="AJ31" i="97" s="1"/>
  <c r="AE30" i="97"/>
  <c r="AC30" i="97"/>
  <c r="W30" i="97"/>
  <c r="U30" i="97"/>
  <c r="G30" i="97"/>
  <c r="AI30" i="97" s="1"/>
  <c r="AJ29" i="97"/>
  <c r="AI28" i="97"/>
  <c r="AG28" i="97"/>
  <c r="AE28" i="97"/>
  <c r="AC28" i="97"/>
  <c r="AA28" i="97"/>
  <c r="AJ28" i="97" s="1"/>
  <c r="Y28" i="97"/>
  <c r="W28" i="97"/>
  <c r="U28" i="97"/>
  <c r="AI27" i="97"/>
  <c r="AG27" i="97"/>
  <c r="AE27" i="97"/>
  <c r="AC27" i="97"/>
  <c r="AA27" i="97"/>
  <c r="Y27" i="97"/>
  <c r="W27" i="97"/>
  <c r="U27" i="97"/>
  <c r="AJ27" i="97" s="1"/>
  <c r="C21" i="97"/>
  <c r="AI19" i="97"/>
  <c r="AJ19" i="97" s="1"/>
  <c r="AG19" i="97"/>
  <c r="AE19" i="97"/>
  <c r="AA19" i="97"/>
  <c r="Y19" i="97"/>
  <c r="W19" i="97"/>
  <c r="U19" i="97"/>
  <c r="S19" i="97"/>
  <c r="Q19" i="97"/>
  <c r="O19" i="97"/>
  <c r="M19" i="97"/>
  <c r="AI18" i="97"/>
  <c r="AJ18" i="97" s="1"/>
  <c r="AG18" i="97"/>
  <c r="AE18" i="97"/>
  <c r="AA18" i="97"/>
  <c r="Y18" i="97"/>
  <c r="W18" i="97"/>
  <c r="U18" i="97"/>
  <c r="S18" i="97"/>
  <c r="Q18" i="97"/>
  <c r="O18" i="97"/>
  <c r="M18" i="97"/>
  <c r="AJ13" i="97"/>
  <c r="AC13" i="97"/>
  <c r="AA13" i="97"/>
  <c r="Y13" i="97"/>
  <c r="W13" i="97"/>
  <c r="U13" i="97"/>
  <c r="S13" i="97"/>
  <c r="Q13" i="97"/>
  <c r="O13" i="97"/>
  <c r="M13" i="97"/>
  <c r="AJ11" i="97"/>
  <c r="AJ8" i="97"/>
  <c r="AA8" i="97"/>
  <c r="Y8" i="97"/>
  <c r="W8" i="97"/>
  <c r="U8" i="97"/>
  <c r="S8" i="97"/>
  <c r="Q8" i="97"/>
  <c r="O8" i="97"/>
  <c r="M8" i="97"/>
  <c r="C7" i="97"/>
  <c r="AJ68" i="97" l="1"/>
  <c r="AG89" i="97"/>
  <c r="AJ89" i="97" s="1"/>
  <c r="K103" i="97"/>
  <c r="AI103" i="97"/>
  <c r="AE111" i="97"/>
  <c r="K112" i="97"/>
  <c r="AI112" i="97"/>
  <c r="AE113" i="97"/>
  <c r="K114" i="97"/>
  <c r="AJ114" i="97" s="1"/>
  <c r="Y30" i="97"/>
  <c r="AG30" i="97"/>
  <c r="AA33" i="97"/>
  <c r="AJ33" i="97" s="1"/>
  <c r="AI33" i="97"/>
  <c r="AA39" i="97"/>
  <c r="AI39" i="97"/>
  <c r="AA45" i="97"/>
  <c r="AI45" i="97"/>
  <c r="AA48" i="97"/>
  <c r="AI48" i="97"/>
  <c r="AC68" i="97"/>
  <c r="AI89" i="97"/>
  <c r="AC103" i="97"/>
  <c r="AG111" i="97"/>
  <c r="AC112" i="97"/>
  <c r="AG113" i="97"/>
  <c r="AE114" i="97"/>
  <c r="AA30" i="97"/>
  <c r="U45" i="97"/>
  <c r="AC45" i="97"/>
  <c r="U48" i="97"/>
  <c r="AC48" i="97"/>
  <c r="K111" i="97"/>
  <c r="AI111" i="97"/>
  <c r="K113" i="97"/>
  <c r="AI113" i="97"/>
  <c r="AE33" i="97"/>
  <c r="W39" i="97"/>
  <c r="AJ39" i="97" s="1"/>
  <c r="AE39" i="97"/>
  <c r="W45" i="97"/>
  <c r="W48" i="97"/>
  <c r="AJ111" i="97" l="1"/>
  <c r="AJ45" i="97"/>
  <c r="AJ103" i="97"/>
  <c r="AJ113" i="97"/>
  <c r="AJ48" i="97"/>
  <c r="AJ30" i="97"/>
  <c r="AJ112" i="97"/>
  <c r="N140" i="77" l="1"/>
  <c r="N139" i="77"/>
  <c r="N138" i="77"/>
  <c r="N137" i="77"/>
  <c r="N136" i="77"/>
  <c r="N135" i="77"/>
  <c r="N134" i="77"/>
  <c r="N133" i="77"/>
  <c r="N132" i="77"/>
  <c r="N131" i="77"/>
  <c r="N130" i="77"/>
  <c r="N125" i="77"/>
  <c r="N124" i="77"/>
  <c r="N123" i="77"/>
  <c r="N122" i="77"/>
  <c r="N121" i="77"/>
  <c r="N120" i="77"/>
  <c r="N119" i="77"/>
  <c r="N118" i="77"/>
  <c r="N117" i="77"/>
  <c r="N116" i="77"/>
  <c r="N113" i="77"/>
  <c r="N111" i="77"/>
  <c r="N110" i="77"/>
  <c r="N109" i="77"/>
  <c r="N108" i="77"/>
  <c r="N107" i="77"/>
  <c r="N106" i="77"/>
  <c r="N105" i="77"/>
  <c r="N104" i="77"/>
  <c r="N103" i="77"/>
  <c r="N102" i="77"/>
  <c r="N101" i="77"/>
  <c r="N100" i="77"/>
  <c r="N99" i="77"/>
  <c r="N98" i="77"/>
  <c r="N97" i="77"/>
  <c r="N96" i="77"/>
  <c r="N95" i="77"/>
  <c r="N94" i="77"/>
  <c r="N93" i="77"/>
  <c r="N92" i="77"/>
  <c r="N87" i="77"/>
  <c r="N86" i="77"/>
  <c r="N85" i="77"/>
  <c r="N84" i="77"/>
  <c r="N83" i="77"/>
  <c r="N82" i="77"/>
  <c r="N81" i="77"/>
  <c r="N80" i="77"/>
  <c r="N79" i="77"/>
  <c r="N78" i="77"/>
  <c r="N77" i="77"/>
  <c r="N76" i="77"/>
  <c r="N75" i="77"/>
  <c r="N74" i="77"/>
  <c r="N73" i="77"/>
  <c r="N72"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28" i="77"/>
  <c r="N27" i="77"/>
  <c r="N26" i="77"/>
  <c r="N25" i="77"/>
  <c r="N23" i="77"/>
  <c r="N22" i="77"/>
  <c r="N21" i="77"/>
  <c r="N20" i="77"/>
  <c r="N6" i="77"/>
  <c r="N5" i="77"/>
  <c r="N4" i="77"/>
  <c r="N342" i="103" l="1"/>
  <c r="G319" i="103" l="1"/>
  <c r="G317" i="103"/>
  <c r="G305" i="103"/>
  <c r="G309" i="103" s="1"/>
  <c r="G297" i="103"/>
  <c r="G277" i="103"/>
  <c r="G265" i="103"/>
  <c r="G262" i="103"/>
  <c r="G269" i="103" s="1"/>
  <c r="G211" i="103"/>
  <c r="G254" i="103" s="1"/>
  <c r="M203" i="103"/>
  <c r="G203" i="103"/>
  <c r="M189" i="103"/>
  <c r="G189" i="103"/>
  <c r="M176" i="103"/>
  <c r="G176" i="103"/>
  <c r="M165" i="103"/>
  <c r="G165" i="103"/>
  <c r="M158" i="103"/>
  <c r="G158" i="103"/>
  <c r="M142" i="103"/>
  <c r="G142" i="103"/>
  <c r="M107" i="103"/>
  <c r="G107" i="103"/>
  <c r="M96" i="103"/>
  <c r="G96" i="103"/>
  <c r="M78" i="103"/>
  <c r="G78" i="103"/>
  <c r="M56" i="103"/>
  <c r="G56" i="103"/>
  <c r="M46" i="103"/>
  <c r="G46" i="103"/>
  <c r="M40" i="103"/>
  <c r="G40" i="103"/>
  <c r="M29" i="103"/>
  <c r="G29" i="103"/>
  <c r="M11" i="103"/>
  <c r="G11" i="103"/>
  <c r="P262" i="100" l="1"/>
  <c r="W200" i="74"/>
  <c r="W187" i="74"/>
  <c r="W130" i="74"/>
  <c r="W12" i="74"/>
  <c r="V9" i="94"/>
  <c r="T84" i="101"/>
  <c r="R92" i="72"/>
  <c r="R84" i="72"/>
  <c r="R76" i="72"/>
  <c r="R69" i="72"/>
  <c r="R62" i="72"/>
  <c r="R52" i="72"/>
  <c r="R45" i="72"/>
  <c r="R29" i="72"/>
  <c r="R9" i="72"/>
  <c r="Q85" i="101" l="1"/>
  <c r="P86" i="101" s="1"/>
  <c r="P85" i="101"/>
  <c r="H83" i="101"/>
  <c r="H82" i="101"/>
  <c r="H81" i="101"/>
  <c r="H80" i="101"/>
  <c r="H79" i="101"/>
  <c r="H78" i="101"/>
  <c r="H77" i="101"/>
  <c r="H76" i="101"/>
  <c r="H74" i="101"/>
  <c r="H73" i="101"/>
  <c r="H72" i="101"/>
  <c r="C72" i="101"/>
  <c r="H71" i="101"/>
  <c r="H70" i="101"/>
  <c r="H69" i="101"/>
  <c r="H68" i="101"/>
  <c r="H67" i="101"/>
  <c r="H66" i="101"/>
  <c r="H65" i="101"/>
  <c r="H64" i="101"/>
  <c r="H63" i="101"/>
  <c r="H61" i="101"/>
  <c r="H59" i="101"/>
  <c r="D58" i="101"/>
  <c r="C58" i="101"/>
  <c r="D56" i="101"/>
  <c r="C56" i="101"/>
  <c r="H55" i="101"/>
  <c r="D54" i="101"/>
  <c r="C54" i="101"/>
  <c r="H51" i="101"/>
  <c r="D50" i="101"/>
  <c r="C50" i="101"/>
  <c r="D48" i="101"/>
  <c r="C48" i="101"/>
  <c r="C45" i="101" s="1"/>
  <c r="C46" i="101"/>
  <c r="D45" i="101"/>
  <c r="P43" i="101"/>
  <c r="D42" i="101"/>
  <c r="C42" i="101"/>
  <c r="H41" i="101"/>
  <c r="P40" i="101"/>
  <c r="H40" i="101"/>
  <c r="P39" i="101"/>
  <c r="H39" i="101"/>
  <c r="D38" i="101"/>
  <c r="C38" i="101"/>
  <c r="P37" i="101"/>
  <c r="H37" i="101"/>
  <c r="P36" i="101"/>
  <c r="H36" i="101"/>
  <c r="D35" i="101"/>
  <c r="C35" i="101"/>
  <c r="H34" i="101"/>
  <c r="N34" i="101" s="1"/>
  <c r="H33" i="101"/>
  <c r="P33" i="101" s="1"/>
  <c r="H32" i="101"/>
  <c r="P32" i="101" s="1"/>
  <c r="H31" i="101"/>
  <c r="P30" i="101"/>
  <c r="H30" i="101"/>
  <c r="G30" i="101"/>
  <c r="H29" i="101"/>
  <c r="P29" i="101" s="1"/>
  <c r="H28" i="101"/>
  <c r="P28" i="101" s="1"/>
  <c r="D28" i="101"/>
  <c r="P27" i="101"/>
  <c r="H27" i="101"/>
  <c r="D26" i="101"/>
  <c r="C26" i="101"/>
  <c r="P25" i="101"/>
  <c r="H25" i="101"/>
  <c r="D24" i="101"/>
  <c r="C24" i="101"/>
  <c r="D23" i="101"/>
  <c r="H23" i="101" s="1"/>
  <c r="P23" i="101" s="1"/>
  <c r="H22" i="101"/>
  <c r="P22" i="101" s="1"/>
  <c r="D22" i="101"/>
  <c r="D21" i="101"/>
  <c r="H21" i="101" s="1"/>
  <c r="P21" i="101" s="1"/>
  <c r="P20" i="101"/>
  <c r="P19" i="101"/>
  <c r="C18" i="101"/>
  <c r="H17" i="101"/>
  <c r="P17" i="101" s="1"/>
  <c r="H16" i="101"/>
  <c r="P16" i="101" s="1"/>
  <c r="D15" i="101"/>
  <c r="C15" i="101"/>
  <c r="N13" i="101"/>
  <c r="H13" i="101"/>
  <c r="P13" i="101" s="1"/>
  <c r="D12" i="101"/>
  <c r="C12" i="101"/>
  <c r="D10" i="101"/>
  <c r="C10" i="101"/>
  <c r="H9" i="101"/>
  <c r="N9" i="101" s="1"/>
  <c r="D8" i="101"/>
  <c r="C8" i="101"/>
  <c r="C7" i="101"/>
  <c r="D7" i="101" l="1"/>
  <c r="P9" i="101"/>
  <c r="P34" i="101"/>
  <c r="D18" i="101"/>
  <c r="G258" i="98"/>
  <c r="M258" i="98" s="1"/>
  <c r="M256" i="98"/>
  <c r="M255" i="98"/>
  <c r="M254" i="98"/>
  <c r="M253" i="98"/>
  <c r="M252" i="98"/>
  <c r="M251" i="98"/>
  <c r="M250" i="98"/>
  <c r="M249" i="98"/>
  <c r="M248" i="98"/>
  <c r="M247" i="98"/>
  <c r="M246" i="98"/>
  <c r="M245" i="98"/>
  <c r="M244" i="98"/>
  <c r="M243" i="98"/>
  <c r="M242" i="98"/>
  <c r="M241" i="98"/>
  <c r="M240" i="98"/>
  <c r="M239" i="98"/>
  <c r="M238" i="98"/>
  <c r="M237" i="98"/>
  <c r="M236" i="98"/>
  <c r="M235" i="98"/>
  <c r="M234" i="98"/>
  <c r="M233" i="98"/>
  <c r="M232" i="98"/>
  <c r="M231" i="98"/>
  <c r="M230" i="98"/>
  <c r="M229" i="98"/>
  <c r="M228" i="98"/>
  <c r="M227" i="98"/>
  <c r="M226" i="98"/>
  <c r="C225" i="98"/>
  <c r="M224" i="98"/>
  <c r="M223" i="98"/>
  <c r="M222" i="98"/>
  <c r="M221" i="98"/>
  <c r="M214" i="98"/>
  <c r="M207" i="98"/>
  <c r="C200" i="98"/>
  <c r="M194" i="98"/>
  <c r="M193" i="98"/>
  <c r="M192" i="98"/>
  <c r="M185" i="98"/>
  <c r="M184" i="98"/>
  <c r="C184" i="98"/>
  <c r="M181" i="98"/>
  <c r="M180" i="98"/>
  <c r="M179" i="98"/>
  <c r="M178" i="98"/>
  <c r="M177" i="98"/>
  <c r="M176" i="98"/>
  <c r="M175" i="98"/>
  <c r="M174" i="98"/>
  <c r="M173" i="98"/>
  <c r="M172" i="98"/>
  <c r="M171" i="98"/>
  <c r="M170" i="98"/>
  <c r="M169" i="98"/>
  <c r="M168" i="98"/>
  <c r="M167" i="98"/>
  <c r="M166" i="98"/>
  <c r="M165" i="98"/>
  <c r="M164" i="98"/>
  <c r="M163" i="98"/>
  <c r="M162" i="98"/>
  <c r="M161" i="98"/>
  <c r="M160" i="98"/>
  <c r="M159" i="98"/>
  <c r="M158" i="98"/>
  <c r="M157" i="98"/>
  <c r="M156" i="98"/>
  <c r="M155" i="98"/>
  <c r="M154" i="98"/>
  <c r="M153" i="98"/>
  <c r="M152" i="98"/>
  <c r="M151" i="98"/>
  <c r="M150" i="98"/>
  <c r="M149" i="98"/>
  <c r="M148" i="98"/>
  <c r="M147" i="98"/>
  <c r="M146" i="98"/>
  <c r="M145" i="98"/>
  <c r="M144" i="98"/>
  <c r="M143" i="98"/>
  <c r="M142" i="98"/>
  <c r="M141" i="98"/>
  <c r="M140" i="98"/>
  <c r="M139" i="98"/>
  <c r="M138" i="98"/>
  <c r="M137" i="98"/>
  <c r="M136" i="98"/>
  <c r="M135" i="98"/>
  <c r="M134" i="98"/>
  <c r="M133" i="98"/>
  <c r="M132" i="98"/>
  <c r="M131" i="98"/>
  <c r="M130" i="98"/>
  <c r="M129" i="98"/>
  <c r="M128" i="98"/>
  <c r="C127" i="98"/>
  <c r="C9" i="98" s="1"/>
  <c r="M126" i="98"/>
  <c r="M125" i="98"/>
  <c r="M124" i="98"/>
  <c r="M123" i="98"/>
  <c r="M122" i="98"/>
  <c r="M121" i="98"/>
  <c r="M120" i="98"/>
  <c r="M119" i="98"/>
  <c r="M118" i="98"/>
  <c r="M117" i="98"/>
  <c r="M116" i="98"/>
  <c r="M115" i="98"/>
  <c r="M114" i="98"/>
  <c r="M113" i="98"/>
  <c r="M112" i="98"/>
  <c r="M111" i="98"/>
  <c r="M110" i="98"/>
  <c r="M109" i="98"/>
  <c r="M108" i="98"/>
  <c r="M107" i="98"/>
  <c r="M106" i="98"/>
  <c r="M105" i="98"/>
  <c r="M104" i="98"/>
  <c r="M103" i="98"/>
  <c r="M102" i="98"/>
  <c r="M101" i="98"/>
  <c r="M100" i="98"/>
  <c r="M99" i="98"/>
  <c r="M98" i="98"/>
  <c r="M97" i="98"/>
  <c r="M96" i="98"/>
  <c r="M95" i="98"/>
  <c r="M94" i="98"/>
  <c r="M93" i="98"/>
  <c r="M92" i="98"/>
  <c r="M91" i="98"/>
  <c r="M90" i="98"/>
  <c r="M89" i="98"/>
  <c r="M88" i="98"/>
  <c r="M87" i="98"/>
  <c r="M86" i="98"/>
  <c r="M85" i="98"/>
  <c r="M84" i="98"/>
  <c r="M83" i="98"/>
  <c r="G82" i="98"/>
  <c r="M82" i="98" s="1"/>
  <c r="M81" i="98"/>
  <c r="M80" i="98"/>
  <c r="M79" i="98"/>
  <c r="M78" i="98"/>
  <c r="M77" i="98"/>
  <c r="M76" i="98"/>
  <c r="M75" i="98"/>
  <c r="M74" i="98"/>
  <c r="M73" i="98"/>
  <c r="M72" i="98"/>
  <c r="M71" i="98"/>
  <c r="M70" i="98"/>
  <c r="M69" i="98"/>
  <c r="M68" i="98"/>
  <c r="M67" i="98"/>
  <c r="M66" i="98"/>
  <c r="G66" i="98"/>
  <c r="M65" i="98"/>
  <c r="M64" i="98"/>
  <c r="M63" i="98"/>
  <c r="M62" i="98"/>
  <c r="M61" i="98"/>
  <c r="M60" i="98"/>
  <c r="M59" i="98"/>
  <c r="M58" i="98"/>
  <c r="M57" i="98"/>
  <c r="M56" i="98"/>
  <c r="M55" i="98"/>
  <c r="M54" i="98"/>
  <c r="M53" i="98"/>
  <c r="M52" i="98"/>
  <c r="M51" i="98"/>
  <c r="G51" i="98"/>
  <c r="M50" i="98"/>
  <c r="G49" i="98"/>
  <c r="M49" i="98" s="1"/>
  <c r="M48" i="98"/>
  <c r="M47" i="98"/>
  <c r="M46" i="98"/>
  <c r="M45" i="98"/>
  <c r="M44" i="98"/>
  <c r="M43" i="98"/>
  <c r="M42" i="98"/>
  <c r="M41" i="98"/>
  <c r="M40" i="98"/>
  <c r="M39" i="98"/>
  <c r="M38" i="98"/>
  <c r="M37" i="98"/>
  <c r="M36" i="98"/>
  <c r="M35" i="98"/>
  <c r="M34" i="98"/>
  <c r="M33" i="98"/>
  <c r="G33" i="98"/>
  <c r="M32" i="98"/>
  <c r="M31" i="98"/>
  <c r="M30" i="98"/>
  <c r="M29" i="98"/>
  <c r="M28" i="98"/>
  <c r="M27" i="98"/>
  <c r="M26" i="98"/>
  <c r="M25" i="98"/>
  <c r="M24" i="98"/>
  <c r="G24" i="98"/>
  <c r="M23" i="98"/>
  <c r="M22" i="98"/>
  <c r="M21" i="98"/>
  <c r="M20" i="98"/>
  <c r="M19" i="98"/>
  <c r="M18" i="98"/>
  <c r="M17" i="98"/>
  <c r="M16" i="98"/>
  <c r="M15" i="98"/>
  <c r="M14" i="98"/>
  <c r="M13" i="98"/>
  <c r="M12" i="98"/>
  <c r="M11" i="98"/>
  <c r="G11" i="98"/>
  <c r="G10" i="98"/>
  <c r="C8" i="82" l="1"/>
  <c r="G39" i="94" l="1"/>
  <c r="C39" i="94"/>
  <c r="G32" i="94"/>
  <c r="C32" i="94"/>
  <c r="M27" i="94"/>
  <c r="G27" i="94"/>
  <c r="C27" i="94"/>
  <c r="M10" i="94"/>
  <c r="G10" i="94"/>
  <c r="C10" i="94"/>
  <c r="C7" i="94" s="1"/>
  <c r="G9" i="94"/>
  <c r="M8" i="94"/>
  <c r="G8" i="94"/>
  <c r="G7" i="94"/>
  <c r="B13" i="91" l="1"/>
  <c r="B259" i="100" l="1"/>
  <c r="B256" i="100"/>
  <c r="B254" i="100"/>
  <c r="B253" i="100" s="1"/>
  <c r="B250" i="100"/>
  <c r="B249" i="100" s="1"/>
  <c r="B247" i="100"/>
  <c r="B245" i="100"/>
  <c r="B242" i="100"/>
  <c r="F241" i="100"/>
  <c r="B240" i="100"/>
  <c r="L239" i="100"/>
  <c r="F239" i="100"/>
  <c r="B238" i="100" s="1"/>
  <c r="B221" i="100" s="1"/>
  <c r="B236" i="100"/>
  <c r="B234" i="100"/>
  <c r="B232" i="100"/>
  <c r="B230" i="100"/>
  <c r="B228" i="100"/>
  <c r="B226" i="100"/>
  <c r="B224" i="100"/>
  <c r="B222" i="100"/>
  <c r="F215" i="100"/>
  <c r="B214" i="100"/>
  <c r="B211" i="100"/>
  <c r="B209" i="100"/>
  <c r="B208" i="100" s="1"/>
  <c r="B206" i="100"/>
  <c r="B204" i="100"/>
  <c r="B203" i="100"/>
  <c r="B201" i="100"/>
  <c r="B199" i="100"/>
  <c r="B197" i="100"/>
  <c r="B196" i="100"/>
  <c r="B191" i="100"/>
  <c r="B189" i="100"/>
  <c r="B184" i="100"/>
  <c r="B180" i="100"/>
  <c r="F178" i="100"/>
  <c r="B166" i="100"/>
  <c r="B160" i="100"/>
  <c r="B146" i="100"/>
  <c r="L143" i="100"/>
  <c r="F143" i="100"/>
  <c r="B142" i="100" s="1"/>
  <c r="B126" i="100" s="1"/>
  <c r="L133" i="100"/>
  <c r="F133" i="100"/>
  <c r="B129" i="100"/>
  <c r="B127" i="100"/>
  <c r="L125" i="100"/>
  <c r="F125" i="100"/>
  <c r="B121" i="100" s="1"/>
  <c r="B119" i="100"/>
  <c r="L116" i="100"/>
  <c r="F116" i="100"/>
  <c r="B114" i="100" s="1"/>
  <c r="B111" i="100"/>
  <c r="B110" i="100"/>
  <c r="B100" i="100"/>
  <c r="B99" i="100"/>
  <c r="B97" i="100"/>
  <c r="L96" i="100"/>
  <c r="F96" i="100"/>
  <c r="B95" i="100"/>
  <c r="B94" i="100" s="1"/>
  <c r="L93" i="100"/>
  <c r="F93" i="100"/>
  <c r="L92" i="100"/>
  <c r="F92" i="100"/>
  <c r="B89" i="100"/>
  <c r="F88" i="100"/>
  <c r="B85" i="100"/>
  <c r="B84" i="100" s="1"/>
  <c r="B82" i="100"/>
  <c r="B77" i="100"/>
  <c r="B73" i="100"/>
  <c r="B71" i="100"/>
  <c r="B69" i="100"/>
  <c r="B65" i="100"/>
  <c r="B64" i="100"/>
  <c r="B62" i="100"/>
  <c r="L60" i="100"/>
  <c r="F60" i="100"/>
  <c r="B58" i="100"/>
  <c r="L57" i="100"/>
  <c r="F57" i="100"/>
  <c r="B52" i="100" s="1"/>
  <c r="B42" i="100"/>
  <c r="L40" i="100"/>
  <c r="F40" i="100"/>
  <c r="B38" i="100" s="1"/>
  <c r="L28" i="100"/>
  <c r="F28" i="100"/>
  <c r="B26" i="100"/>
  <c r="B18" i="100"/>
  <c r="L17" i="100"/>
  <c r="F17" i="100"/>
  <c r="B10" i="100"/>
  <c r="B9" i="100" l="1"/>
  <c r="B113" i="100"/>
  <c r="B262" i="100" s="1"/>
  <c r="D366" i="81" l="1"/>
  <c r="D356" i="81"/>
  <c r="D327" i="81"/>
  <c r="D277" i="81"/>
  <c r="D274" i="81"/>
  <c r="D257" i="81"/>
  <c r="D201" i="81"/>
  <c r="D191" i="81"/>
  <c r="D168" i="81"/>
  <c r="H53" i="48" l="1"/>
  <c r="D30" i="48"/>
  <c r="C30" i="48"/>
  <c r="D23" i="48"/>
  <c r="C23" i="48"/>
  <c r="D12" i="48"/>
  <c r="C12" i="48"/>
  <c r="D9" i="48"/>
  <c r="C9" i="48"/>
  <c r="D7" i="48"/>
  <c r="D53" i="48" s="1"/>
  <c r="C7" i="48"/>
  <c r="C53" i="48" s="1"/>
  <c r="H116" i="72" l="1"/>
  <c r="G111" i="72"/>
  <c r="C111" i="72"/>
  <c r="U202" i="74" l="1"/>
  <c r="S202" i="74"/>
  <c r="Q202" i="74"/>
  <c r="O202" i="74"/>
  <c r="N199" i="74"/>
  <c r="H199" i="74"/>
  <c r="N198" i="74"/>
  <c r="H198" i="74"/>
  <c r="N197" i="74"/>
  <c r="H196" i="74"/>
  <c r="N196" i="74" s="1"/>
  <c r="H195" i="74"/>
  <c r="N195" i="74" s="1"/>
  <c r="H194" i="74"/>
  <c r="N194" i="74" s="1"/>
  <c r="H193" i="74"/>
  <c r="N193" i="74" s="1"/>
  <c r="H192" i="74"/>
  <c r="N192" i="74" s="1"/>
  <c r="H191" i="74"/>
  <c r="N191" i="74" s="1"/>
  <c r="H190" i="74"/>
  <c r="N190" i="74" s="1"/>
  <c r="H189" i="74"/>
  <c r="N189" i="74" s="1"/>
  <c r="H188" i="74"/>
  <c r="N188" i="74" s="1"/>
  <c r="H187" i="74"/>
  <c r="N187" i="74" s="1"/>
  <c r="H94" i="74"/>
  <c r="D94" i="74"/>
  <c r="D88" i="74"/>
  <c r="D96" i="74" s="1"/>
  <c r="D86" i="74"/>
  <c r="D67" i="74"/>
  <c r="D62" i="74"/>
  <c r="D55" i="74"/>
  <c r="D49" i="74"/>
  <c r="D42" i="74"/>
  <c r="D32" i="74"/>
  <c r="F32" i="74" s="1"/>
  <c r="D27" i="74"/>
  <c r="D20" i="74"/>
  <c r="D18" i="74"/>
  <c r="F18" i="74" s="1"/>
  <c r="C22" i="20" l="1"/>
  <c r="O202" i="96"/>
  <c r="C192" i="96"/>
  <c r="C191" i="96"/>
  <c r="C188" i="96"/>
  <c r="C187" i="96"/>
  <c r="C166" i="96"/>
  <c r="C160" i="96"/>
  <c r="C151" i="96" s="1"/>
  <c r="N155" i="96"/>
  <c r="C89" i="96"/>
  <c r="C88" i="96"/>
  <c r="C87" i="96"/>
  <c r="C86" i="96"/>
  <c r="C85" i="96" s="1"/>
  <c r="C83" i="96"/>
  <c r="C58" i="96"/>
  <c r="C52" i="96"/>
  <c r="C44" i="96"/>
  <c r="C32" i="96"/>
  <c r="C28" i="96"/>
  <c r="H25" i="96" s="1"/>
  <c r="C24" i="96"/>
  <c r="C7" i="96" s="1"/>
  <c r="F28" i="96"/>
  <c r="F29" i="96" s="1"/>
  <c r="C27" i="96" l="1"/>
  <c r="C51" i="96"/>
  <c r="C199" i="96"/>
</calcChain>
</file>

<file path=xl/comments1.xml><?xml version="1.0" encoding="utf-8"?>
<comments xmlns="http://schemas.openxmlformats.org/spreadsheetml/2006/main">
  <authors>
    <author>Autor</author>
  </authors>
  <commentList>
    <comment ref="T22" authorId="0" shapeId="0">
      <text>
        <r>
          <rPr>
            <b/>
            <sz val="9"/>
            <color indexed="81"/>
            <rFont val="Tahoma"/>
            <family val="2"/>
          </rPr>
          <t>Autor:</t>
        </r>
        <r>
          <rPr>
            <sz val="9"/>
            <color indexed="81"/>
            <rFont val="Tahoma"/>
            <family val="2"/>
          </rPr>
          <t xml:space="preserve">
Detallaer la observación con número de funcionarios inscritos y No. Cursos contratados</t>
        </r>
      </text>
    </comment>
    <comment ref="W22" authorId="0" shapeId="0">
      <text>
        <r>
          <rPr>
            <b/>
            <sz val="9"/>
            <color indexed="81"/>
            <rFont val="Tahoma"/>
            <family val="2"/>
          </rPr>
          <t>Autor:</t>
        </r>
        <r>
          <rPr>
            <sz val="9"/>
            <color indexed="81"/>
            <rFont val="Tahoma"/>
            <family val="2"/>
          </rPr>
          <t xml:space="preserve">
Detallaer la observación con número de funcionarios inscritos y No. Cursos contratados</t>
        </r>
      </text>
    </comment>
  </commentList>
</comments>
</file>

<file path=xl/comments2.xml><?xml version="1.0" encoding="utf-8"?>
<comments xmlns="http://schemas.openxmlformats.org/spreadsheetml/2006/main">
  <authors>
    <author>Autor</author>
  </authors>
  <commentList>
    <comment ref="Q7" authorId="0" shapeId="0">
      <text>
        <r>
          <rPr>
            <b/>
            <sz val="9"/>
            <color indexed="81"/>
            <rFont val="Tahoma"/>
            <family val="2"/>
          </rPr>
          <t>Autor:</t>
        </r>
        <r>
          <rPr>
            <sz val="9"/>
            <color indexed="81"/>
            <rFont val="Tahoma"/>
            <family val="2"/>
          </rPr>
          <t xml:space="preserve">
CORRESPONDE AL PORCENTAJE DE CUMPLIMIENTO A LA FECHA DEL INFORME</t>
        </r>
      </text>
    </comment>
    <comment ref="I13" authorId="0" shapeId="0">
      <text>
        <r>
          <rPr>
            <b/>
            <sz val="9"/>
            <color indexed="81"/>
            <rFont val="Tahoma"/>
            <family val="2"/>
          </rPr>
          <t>Autor:</t>
        </r>
        <r>
          <rPr>
            <sz val="9"/>
            <color indexed="81"/>
            <rFont val="Tahoma"/>
            <family val="2"/>
          </rPr>
          <t xml:space="preserve">
(Radicación proyecto Dirección Administrativa)</t>
        </r>
      </text>
    </comment>
    <comment ref="M13" authorId="0" shapeId="0">
      <text>
        <r>
          <rPr>
            <b/>
            <sz val="9"/>
            <color indexed="81"/>
            <rFont val="Tahoma"/>
            <family val="2"/>
          </rPr>
          <t>Autor:</t>
        </r>
        <r>
          <rPr>
            <sz val="9"/>
            <color indexed="81"/>
            <rFont val="Tahoma"/>
            <family val="2"/>
          </rPr>
          <t xml:space="preserve">
(Fecha en la cual ya debe de estar legalizado el contrato para pagar mediante actas parciales, pendiente pago avaluo CNA Y CEA que corresponde al 60% del contrato)</t>
        </r>
      </text>
    </comment>
    <comment ref="I14" authorId="0" shapeId="0">
      <text>
        <r>
          <rPr>
            <b/>
            <sz val="9"/>
            <color indexed="81"/>
            <rFont val="Tahoma"/>
            <family val="2"/>
          </rPr>
          <t>Autor:</t>
        </r>
        <r>
          <rPr>
            <sz val="9"/>
            <color indexed="81"/>
            <rFont val="Tahoma"/>
            <family val="2"/>
          </rPr>
          <t xml:space="preserve">
(Radicación proyecto Dirección Administrativa)</t>
        </r>
      </text>
    </comment>
    <comment ref="M14" authorId="0" shapeId="0">
      <text>
        <r>
          <rPr>
            <b/>
            <sz val="9"/>
            <color indexed="81"/>
            <rFont val="Tahoma"/>
            <family val="2"/>
          </rPr>
          <t>Autor:</t>
        </r>
        <r>
          <rPr>
            <sz val="9"/>
            <color indexed="81"/>
            <rFont val="Tahoma"/>
            <family val="2"/>
          </rPr>
          <t xml:space="preserve">
(Fecha en la cual ya debe de estar legalizado el contrato para pagar mediante actas parciales, pendiente pago avaluo CNA Y CEA que corresponde al 60% del contrato)</t>
        </r>
      </text>
    </comment>
  </commentList>
</comments>
</file>

<file path=xl/comments3.xml><?xml version="1.0" encoding="utf-8"?>
<comments xmlns="http://schemas.openxmlformats.org/spreadsheetml/2006/main">
  <authors>
    <author>Autor</author>
  </authors>
  <commentList>
    <comment ref="O5" authorId="0" shapeId="0">
      <text>
        <r>
          <rPr>
            <b/>
            <sz val="9"/>
            <color indexed="81"/>
            <rFont val="Tahoma"/>
            <family val="2"/>
          </rPr>
          <t>Elaborar la programación de obligaciones, si es necesario adiconar columnas</t>
        </r>
        <r>
          <rPr>
            <sz val="9"/>
            <color indexed="81"/>
            <rFont val="Tahoma"/>
            <family val="2"/>
          </rPr>
          <t xml:space="preserve">
</t>
        </r>
      </text>
    </comment>
    <comment ref="M6" authorId="0" shapeId="0">
      <text>
        <r>
          <rPr>
            <b/>
            <sz val="9"/>
            <color indexed="81"/>
            <rFont val="Tahoma"/>
            <family val="2"/>
          </rPr>
          <t>fecha de  radicación de la obligación</t>
        </r>
        <r>
          <rPr>
            <sz val="9"/>
            <color indexed="81"/>
            <rFont val="Tahoma"/>
            <family val="2"/>
          </rPr>
          <t xml:space="preserve">
</t>
        </r>
      </text>
    </comment>
    <comment ref="O6"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L7" authorId="0" shapeId="0">
      <text>
        <r>
          <rPr>
            <b/>
            <sz val="9"/>
            <color indexed="81"/>
            <rFont val="Tahoma"/>
            <family val="2"/>
          </rPr>
          <t>Elaborar la programación de obligaciones, si es necesario adiconar columnas</t>
        </r>
        <r>
          <rPr>
            <sz val="9"/>
            <color indexed="81"/>
            <rFont val="Tahoma"/>
            <family val="2"/>
          </rPr>
          <t xml:space="preserve">
</t>
        </r>
      </text>
    </comment>
    <comment ref="J8" authorId="0" shapeId="0">
      <text>
        <r>
          <rPr>
            <b/>
            <sz val="9"/>
            <color indexed="81"/>
            <rFont val="Tahoma"/>
            <family val="2"/>
          </rPr>
          <t>fecha de  radicación de la obligación</t>
        </r>
        <r>
          <rPr>
            <sz val="9"/>
            <color indexed="81"/>
            <rFont val="Tahoma"/>
            <family val="2"/>
          </rPr>
          <t xml:space="preserve">
</t>
        </r>
      </text>
    </comment>
    <comment ref="L8" authorId="0" shapeId="0">
      <text>
        <r>
          <rPr>
            <b/>
            <sz val="9"/>
            <color indexed="81"/>
            <rFont val="Tahoma"/>
            <family val="2"/>
          </rPr>
          <t>fecha de programación de radicación de la obligación</t>
        </r>
        <r>
          <rPr>
            <sz val="9"/>
            <color indexed="81"/>
            <rFont val="Tahoma"/>
            <family val="2"/>
          </rPr>
          <t xml:space="preserve">
</t>
        </r>
      </text>
    </comment>
    <comment ref="D184" authorId="0" shapeId="0">
      <text>
        <r>
          <rPr>
            <b/>
            <sz val="9"/>
            <color indexed="81"/>
            <rFont val="Tahoma"/>
            <family val="2"/>
          </rPr>
          <t>Autor:</t>
        </r>
        <r>
          <rPr>
            <sz val="9"/>
            <color indexed="81"/>
            <rFont val="Tahoma"/>
            <family val="2"/>
          </rPr>
          <t xml:space="preserve">
1. VIG /2015; $ 2.700 MILLONES  2 MAQUIANS
2. VIG /2016; $ 800 MILLONES 3 MAQUINAS AEROPUERTOS TAME, ARMENIA, YOPAL</t>
        </r>
      </text>
    </comment>
  </commentList>
</comments>
</file>

<file path=xl/comments5.xml><?xml version="1.0" encoding="utf-8"?>
<comments xmlns="http://schemas.openxmlformats.org/spreadsheetml/2006/main">
  <authors>
    <author>Autor</author>
  </authors>
  <commentList>
    <comment ref="D19" authorId="0" shapeId="0">
      <text>
        <r>
          <rPr>
            <b/>
            <sz val="9"/>
            <color indexed="81"/>
            <rFont val="Tahoma"/>
            <family val="2"/>
          </rPr>
          <t>Autor:</t>
        </r>
        <r>
          <rPr>
            <sz val="9"/>
            <color indexed="81"/>
            <rFont val="Tahoma"/>
            <family val="2"/>
          </rPr>
          <t xml:space="preserve">
De acuerdo a informacion de presupuesto la unidad de negocio no existe en el listado maestro, por instrucción del profesional a cargo del proyecto se ubican recursos en Cucuta</t>
        </r>
      </text>
    </comment>
    <comment ref="D20" authorId="0" shapeId="0">
      <text>
        <r>
          <rPr>
            <b/>
            <sz val="9"/>
            <color indexed="81"/>
            <rFont val="Tahoma"/>
            <family val="2"/>
          </rPr>
          <t>Autor:</t>
        </r>
        <r>
          <rPr>
            <sz val="9"/>
            <color indexed="81"/>
            <rFont val="Tahoma"/>
            <family val="2"/>
          </rPr>
          <t xml:space="preserve">
De acuerdo a informacion de presupuesto la unidad de negocio no existe en el listado maestro, por instrucción del profesional a cargo del proyecto se ubican recursos en Cucuta
</t>
        </r>
      </text>
    </comment>
    <comment ref="C26" authorId="0" shapeId="0">
      <text>
        <r>
          <rPr>
            <sz val="9"/>
            <color indexed="81"/>
            <rFont val="Tahoma"/>
            <family val="2"/>
          </rPr>
          <t xml:space="preserve">Esta actividad tenia 70 mll, pero no se puede dejar como imprevistos. Se suman 70 mll a subest San Andrés
</t>
        </r>
      </text>
    </comment>
    <comment ref="C28" authorId="0" shapeId="0">
      <text>
        <r>
          <rPr>
            <sz val="9"/>
            <color indexed="81"/>
            <rFont val="Tahoma"/>
            <family val="2"/>
          </rPr>
          <t>Se suman $240.000 para ajustarse al marco gastos 2015</t>
        </r>
      </text>
    </comment>
    <comment ref="H44" authorId="0" shapeId="0">
      <text>
        <r>
          <rPr>
            <b/>
            <sz val="9"/>
            <color indexed="81"/>
            <rFont val="Tahoma"/>
            <family val="2"/>
          </rPr>
          <t>VALLE 60
META 113</t>
        </r>
        <r>
          <rPr>
            <sz val="9"/>
            <color indexed="81"/>
            <rFont val="Tahoma"/>
            <family val="2"/>
          </rPr>
          <t xml:space="preserve">
</t>
        </r>
      </text>
    </comment>
    <comment ref="H51" authorId="0" shapeId="0">
      <text>
        <r>
          <rPr>
            <sz val="9"/>
            <color indexed="81"/>
            <rFont val="Tahoma"/>
            <family val="2"/>
          </rPr>
          <t xml:space="preserve">
C/MARCA 455
ANTIOQUIA  250
ATLANTICO  395
VALLE   595
N DE S   210
META  385
</t>
        </r>
      </text>
    </comment>
    <comment ref="C52" authorId="0" shapeId="0">
      <text>
        <r>
          <rPr>
            <sz val="9"/>
            <color indexed="81"/>
            <rFont val="Tahoma"/>
            <family val="2"/>
          </rPr>
          <t>Se ajusta de acuerdo marco gastso 2015</t>
        </r>
      </text>
    </comment>
    <comment ref="C58" authorId="0" shapeId="0">
      <text>
        <r>
          <rPr>
            <sz val="9"/>
            <color indexed="81"/>
            <rFont val="Tahoma"/>
            <family val="2"/>
          </rPr>
          <t xml:space="preserve">Se ajusta de acuerdo marco gastos 2015
</t>
        </r>
      </text>
    </comment>
    <comment ref="C83" authorId="0" shapeId="0">
      <text>
        <r>
          <rPr>
            <sz val="9"/>
            <color indexed="81"/>
            <rFont val="Tahoma"/>
            <family val="2"/>
          </rPr>
          <t>Se ajusta de acuerdo al marco gastos 2015</t>
        </r>
      </text>
    </comment>
    <comment ref="C86" authorId="0" shapeId="0">
      <text>
        <r>
          <rPr>
            <sz val="9"/>
            <color indexed="81"/>
            <rFont val="Tahoma"/>
            <family val="2"/>
          </rPr>
          <t>Se ajusta de acuerdo al marco de gastos 2015</t>
        </r>
      </text>
    </comment>
    <comment ref="H88" authorId="0" shapeId="0">
      <text>
        <r>
          <rPr>
            <sz val="9"/>
            <color indexed="81"/>
            <rFont val="Tahoma"/>
            <family val="2"/>
          </rPr>
          <t xml:space="preserve">C/MARCA 2.130
ANTIOQUIA  830
ATLANTICO  1.625
VALLE   1.295
N DE S   1.572
META  830
</t>
        </r>
      </text>
    </comment>
    <comment ref="C89" authorId="0" shapeId="0">
      <text>
        <r>
          <rPr>
            <sz val="9"/>
            <color indexed="81"/>
            <rFont val="Tahoma"/>
            <family val="2"/>
          </rPr>
          <t>Se ajusta de acuerdo al marco de gastos 2015</t>
        </r>
      </text>
    </comment>
    <comment ref="G151" authorId="0" shapeId="0">
      <text>
        <r>
          <rPr>
            <b/>
            <sz val="9"/>
            <color indexed="81"/>
            <rFont val="Tahoma"/>
            <family val="2"/>
          </rPr>
          <t>ILS AXM 5,000
TLS SPP  10,000
ILS CUC  3,300
VOR/DME PEI  2,900</t>
        </r>
        <r>
          <rPr>
            <sz val="9"/>
            <color indexed="81"/>
            <rFont val="Tahoma"/>
            <family val="2"/>
          </rPr>
          <t xml:space="preserve">
</t>
        </r>
      </text>
    </comment>
    <comment ref="D155" authorId="0" shapeId="0">
      <text>
        <r>
          <rPr>
            <b/>
            <sz val="9"/>
            <color indexed="81"/>
            <rFont val="Tahoma"/>
            <family val="2"/>
          </rPr>
          <t>Autor:</t>
        </r>
        <r>
          <rPr>
            <sz val="9"/>
            <color indexed="81"/>
            <rFont val="Tahoma"/>
            <family val="2"/>
          </rPr>
          <t xml:space="preserve">
LA UNIDAD DE NEGOCIO NO EXISTE EN EL LISTADO ENVIADO POR GRUPO PRESUPUESTO, POR INSTRUCCIÓN DEL PROFESIONAL A CARGO DEL PROYECTO SE CARGA A BUCARAMANGA.
</t>
        </r>
      </text>
    </comment>
    <comment ref="C160" authorId="0" shapeId="0">
      <text>
        <r>
          <rPr>
            <sz val="9"/>
            <color indexed="81"/>
            <rFont val="Tahoma"/>
            <family val="2"/>
          </rPr>
          <t>Se ajusta según decreto liquidación 2015</t>
        </r>
      </text>
    </comment>
    <comment ref="H166" authorId="0" shapeId="0">
      <text>
        <r>
          <rPr>
            <b/>
            <sz val="9"/>
            <color indexed="81"/>
            <rFont val="Tahoma"/>
            <family val="2"/>
          </rPr>
          <t>C/MARCA  260
ATLANTICO  15
VALLE  200
N DE S 10</t>
        </r>
      </text>
    </comment>
    <comment ref="C188" authorId="0" shapeId="0">
      <text>
        <r>
          <rPr>
            <sz val="9"/>
            <color indexed="81"/>
            <rFont val="Tahoma"/>
            <family val="2"/>
          </rPr>
          <t xml:space="preserve">Se ajusta según decreto liquidación 2015
</t>
        </r>
      </text>
    </comment>
    <comment ref="C192" authorId="0" shapeId="0">
      <text>
        <r>
          <rPr>
            <sz val="9"/>
            <color indexed="81"/>
            <rFont val="Tahoma"/>
            <family val="2"/>
          </rPr>
          <t>Se ajusta según decreto liquidación 2015</t>
        </r>
      </text>
    </comment>
  </commentList>
</comments>
</file>

<file path=xl/comments6.xml><?xml version="1.0" encoding="utf-8"?>
<comments xmlns="http://schemas.openxmlformats.org/spreadsheetml/2006/main">
  <authors>
    <author>Autor</author>
  </authors>
  <commentList>
    <comment ref="M7" authorId="0" shapeId="0">
      <text>
        <r>
          <rPr>
            <b/>
            <sz val="9"/>
            <color indexed="81"/>
            <rFont val="Tahoma"/>
            <family val="2"/>
          </rPr>
          <t>Elaborar la programación de obligaciones, si es necesario adiconar columnas</t>
        </r>
        <r>
          <rPr>
            <sz val="9"/>
            <color indexed="81"/>
            <rFont val="Tahoma"/>
            <family val="2"/>
          </rPr>
          <t xml:space="preserve">
</t>
        </r>
      </text>
    </comment>
    <comment ref="K8" authorId="0" shapeId="0">
      <text>
        <r>
          <rPr>
            <b/>
            <sz val="9"/>
            <color indexed="81"/>
            <rFont val="Tahoma"/>
            <family val="2"/>
          </rPr>
          <t>fecha de  radicación de la obligación</t>
        </r>
        <r>
          <rPr>
            <sz val="9"/>
            <color indexed="81"/>
            <rFont val="Tahoma"/>
            <family val="2"/>
          </rPr>
          <t xml:space="preserve">
</t>
        </r>
      </text>
    </comment>
    <comment ref="M8" authorId="0" shapeId="0">
      <text>
        <r>
          <rPr>
            <b/>
            <sz val="9"/>
            <color indexed="81"/>
            <rFont val="Tahoma"/>
            <family val="2"/>
          </rPr>
          <t>fecha de programación de radicación de la obligación</t>
        </r>
        <r>
          <rPr>
            <sz val="9"/>
            <color indexed="81"/>
            <rFont val="Tahoma"/>
            <family val="2"/>
          </rPr>
          <t xml:space="preserve">
</t>
        </r>
      </text>
    </comment>
    <comment ref="M77" authorId="0" shapeId="0">
      <text>
        <r>
          <rPr>
            <b/>
            <sz val="9"/>
            <color indexed="81"/>
            <rFont val="Tahoma"/>
            <family val="2"/>
          </rPr>
          <t>Elaborar la programación de obligaciones, si es necesario adiconar columnas</t>
        </r>
        <r>
          <rPr>
            <sz val="9"/>
            <color indexed="81"/>
            <rFont val="Tahoma"/>
            <family val="2"/>
          </rPr>
          <t xml:space="preserve">
</t>
        </r>
      </text>
    </comment>
    <comment ref="K78" authorId="0" shapeId="0">
      <text>
        <r>
          <rPr>
            <b/>
            <sz val="9"/>
            <color indexed="81"/>
            <rFont val="Tahoma"/>
            <family val="2"/>
          </rPr>
          <t>fecha de  radicación de la obligación</t>
        </r>
        <r>
          <rPr>
            <sz val="9"/>
            <color indexed="81"/>
            <rFont val="Tahoma"/>
            <family val="2"/>
          </rPr>
          <t xml:space="preserve">
</t>
        </r>
      </text>
    </comment>
    <comment ref="M78" authorId="0" shapeId="0">
      <text>
        <r>
          <rPr>
            <b/>
            <sz val="9"/>
            <color indexed="81"/>
            <rFont val="Tahoma"/>
            <family val="2"/>
          </rPr>
          <t>fecha de programación de radicación de la obligación</t>
        </r>
        <r>
          <rPr>
            <sz val="9"/>
            <color indexed="81"/>
            <rFont val="Tahoma"/>
            <family val="2"/>
          </rPr>
          <t xml:space="preserve">
</t>
        </r>
      </text>
    </comment>
    <comment ref="M102"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03" authorId="0" shapeId="0">
      <text>
        <r>
          <rPr>
            <b/>
            <sz val="9"/>
            <color indexed="81"/>
            <rFont val="Tahoma"/>
            <family val="2"/>
          </rPr>
          <t>fecha de  radicación de la obligación</t>
        </r>
        <r>
          <rPr>
            <sz val="9"/>
            <color indexed="81"/>
            <rFont val="Tahoma"/>
            <family val="2"/>
          </rPr>
          <t xml:space="preserve">
</t>
        </r>
      </text>
    </comment>
    <comment ref="M103" authorId="0" shapeId="0">
      <text>
        <r>
          <rPr>
            <b/>
            <sz val="9"/>
            <color indexed="81"/>
            <rFont val="Tahoma"/>
            <family val="2"/>
          </rPr>
          <t>fecha de programación de radicación de la obligación</t>
        </r>
        <r>
          <rPr>
            <sz val="9"/>
            <color indexed="81"/>
            <rFont val="Tahoma"/>
            <family val="2"/>
          </rPr>
          <t xml:space="preserve">
</t>
        </r>
      </text>
    </comment>
    <comment ref="M109"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10" authorId="0" shapeId="0">
      <text>
        <r>
          <rPr>
            <b/>
            <sz val="9"/>
            <color indexed="81"/>
            <rFont val="Tahoma"/>
            <family val="2"/>
          </rPr>
          <t>fecha de  radicación de la obligación</t>
        </r>
        <r>
          <rPr>
            <sz val="9"/>
            <color indexed="81"/>
            <rFont val="Tahoma"/>
            <family val="2"/>
          </rPr>
          <t xml:space="preserve">
</t>
        </r>
      </text>
    </comment>
    <comment ref="M110" authorId="0" shapeId="0">
      <text>
        <r>
          <rPr>
            <b/>
            <sz val="9"/>
            <color indexed="81"/>
            <rFont val="Tahoma"/>
            <family val="2"/>
          </rPr>
          <t>fecha de programación de radicación de la obligación</t>
        </r>
        <r>
          <rPr>
            <sz val="9"/>
            <color indexed="81"/>
            <rFont val="Tahoma"/>
            <family val="2"/>
          </rPr>
          <t xml:space="preserve">
</t>
        </r>
      </text>
    </comment>
    <comment ref="M126"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27" authorId="0" shapeId="0">
      <text>
        <r>
          <rPr>
            <b/>
            <sz val="9"/>
            <color indexed="81"/>
            <rFont val="Tahoma"/>
            <family val="2"/>
          </rPr>
          <t>fecha de  radicación de la obligación</t>
        </r>
        <r>
          <rPr>
            <sz val="9"/>
            <color indexed="81"/>
            <rFont val="Tahoma"/>
            <family val="2"/>
          </rPr>
          <t xml:space="preserve">
</t>
        </r>
      </text>
    </comment>
    <comment ref="M127" authorId="0" shapeId="0">
      <text>
        <r>
          <rPr>
            <b/>
            <sz val="9"/>
            <color indexed="81"/>
            <rFont val="Tahoma"/>
            <family val="2"/>
          </rPr>
          <t>fecha de programación de radicación de la obligación</t>
        </r>
        <r>
          <rPr>
            <sz val="9"/>
            <color indexed="81"/>
            <rFont val="Tahoma"/>
            <family val="2"/>
          </rPr>
          <t xml:space="preserve">
</t>
        </r>
      </text>
    </comment>
    <comment ref="P187" authorId="0" shapeId="0">
      <text>
        <r>
          <rPr>
            <b/>
            <sz val="9"/>
            <color indexed="81"/>
            <rFont val="Tahoma"/>
            <family val="2"/>
          </rPr>
          <t xml:space="preserve">Autor:
</t>
        </r>
      </text>
    </comment>
    <comment ref="P191" authorId="0" shapeId="0">
      <text>
        <r>
          <rPr>
            <b/>
            <sz val="9"/>
            <color indexed="81"/>
            <rFont val="Tahoma"/>
            <family val="2"/>
          </rPr>
          <t xml:space="preserve">Autor:
</t>
        </r>
      </text>
    </comment>
    <comment ref="P195" authorId="0" shapeId="0">
      <text>
        <r>
          <rPr>
            <b/>
            <sz val="9"/>
            <color indexed="81"/>
            <rFont val="Tahoma"/>
            <family val="2"/>
          </rPr>
          <t xml:space="preserve">Autor:
</t>
        </r>
      </text>
    </comment>
  </commentList>
</comments>
</file>

<file path=xl/comments7.xml><?xml version="1.0" encoding="utf-8"?>
<comments xmlns="http://schemas.openxmlformats.org/spreadsheetml/2006/main">
  <authors>
    <author>Autor</author>
  </authors>
  <commentList>
    <comment ref="M6" authorId="0" shapeId="0">
      <text>
        <r>
          <rPr>
            <b/>
            <sz val="9"/>
            <color indexed="81"/>
            <rFont val="Tahoma"/>
            <family val="2"/>
          </rPr>
          <t>Elaborar la programación de obligaciones, si es necesario adiconar columnas</t>
        </r>
        <r>
          <rPr>
            <sz val="9"/>
            <color indexed="81"/>
            <rFont val="Tahoma"/>
            <family val="2"/>
          </rPr>
          <t xml:space="preserve">
</t>
        </r>
      </text>
    </comment>
    <comment ref="K7" authorId="0" shapeId="0">
      <text>
        <r>
          <rPr>
            <b/>
            <sz val="9"/>
            <color indexed="81"/>
            <rFont val="Tahoma"/>
            <family val="2"/>
          </rPr>
          <t>fecha de  radicación de la obligación</t>
        </r>
        <r>
          <rPr>
            <sz val="9"/>
            <color indexed="81"/>
            <rFont val="Tahoma"/>
            <family val="2"/>
          </rPr>
          <t xml:space="preserve">
</t>
        </r>
      </text>
    </comment>
    <comment ref="M7"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M2" authorId="0" shapeId="0">
      <text>
        <r>
          <rPr>
            <b/>
            <sz val="9"/>
            <color indexed="81"/>
            <rFont val="Tahoma"/>
            <family val="2"/>
          </rPr>
          <t>Elaborar la programación de obligaciones, si es necesario adiconar columnas</t>
        </r>
        <r>
          <rPr>
            <sz val="9"/>
            <color indexed="81"/>
            <rFont val="Tahoma"/>
            <family val="2"/>
          </rPr>
          <t xml:space="preserve">
</t>
        </r>
      </text>
    </comment>
    <comment ref="K3" authorId="0" shapeId="0">
      <text>
        <r>
          <rPr>
            <b/>
            <sz val="9"/>
            <color indexed="81"/>
            <rFont val="Tahoma"/>
            <family val="2"/>
          </rPr>
          <t>fecha de  radicación de la obligación</t>
        </r>
        <r>
          <rPr>
            <sz val="9"/>
            <color indexed="81"/>
            <rFont val="Tahoma"/>
            <family val="2"/>
          </rPr>
          <t xml:space="preserve">
</t>
        </r>
      </text>
    </comment>
    <comment ref="M3"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K7" authorId="0" shapeId="0">
      <text>
        <r>
          <rPr>
            <b/>
            <sz val="9"/>
            <color indexed="81"/>
            <rFont val="Tahoma"/>
            <family val="2"/>
          </rPr>
          <t>Elaborar la programación de obligaciones, si es necesario adiconar columnas</t>
        </r>
        <r>
          <rPr>
            <sz val="9"/>
            <color indexed="81"/>
            <rFont val="Tahoma"/>
            <family val="2"/>
          </rPr>
          <t xml:space="preserve">
</t>
        </r>
      </text>
    </comment>
    <comment ref="I8" authorId="0" shapeId="0">
      <text>
        <r>
          <rPr>
            <b/>
            <sz val="9"/>
            <color indexed="81"/>
            <rFont val="Tahoma"/>
            <family val="2"/>
          </rPr>
          <t>fecha de  radicación de la obligación</t>
        </r>
        <r>
          <rPr>
            <sz val="9"/>
            <color indexed="81"/>
            <rFont val="Tahoma"/>
            <family val="2"/>
          </rPr>
          <t xml:space="preserve">
</t>
        </r>
      </text>
    </comment>
    <comment ref="K8" authorId="0" shapeId="0">
      <text>
        <r>
          <rPr>
            <b/>
            <sz val="9"/>
            <color indexed="81"/>
            <rFont val="Tahoma"/>
            <family val="2"/>
          </rPr>
          <t>fecha de programación de radicación de la obligación</t>
        </r>
        <r>
          <rPr>
            <sz val="9"/>
            <color indexed="81"/>
            <rFont val="Tahoma"/>
            <family val="2"/>
          </rPr>
          <t xml:space="preserve">
</t>
        </r>
      </text>
    </comment>
    <comment ref="Q8" authorId="0" shapeId="0">
      <text>
        <r>
          <rPr>
            <b/>
            <sz val="9"/>
            <color indexed="81"/>
            <rFont val="Tahoma"/>
            <family val="2"/>
          </rPr>
          <t>Explicacion de cumplimiento y no cumplimiento. Explicar los motivos que generan el incumplimiento como por ejemplo: Si hay demoras y ajustes en  la radicacion, colocar neuva fecha y el   porque?  Si existe cambios en la fecha de radicación, porque? y demás que se consideren importantes.</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A4" authorId="0" shapeId="0">
      <text>
        <r>
          <rPr>
            <b/>
            <sz val="9"/>
            <color indexed="81"/>
            <rFont val="Tahoma"/>
            <family val="2"/>
          </rPr>
          <t>RUBRO</t>
        </r>
      </text>
    </comment>
    <comment ref="B4" authorId="0" shapeId="0">
      <text>
        <r>
          <rPr>
            <b/>
            <sz val="9"/>
            <color indexed="81"/>
            <rFont val="Tahoma"/>
            <family val="2"/>
          </rPr>
          <t>NOMBRE DEL PROCESO</t>
        </r>
        <r>
          <rPr>
            <sz val="9"/>
            <color indexed="81"/>
            <rFont val="Tahoma"/>
            <family val="2"/>
          </rPr>
          <t xml:space="preserve">
</t>
        </r>
      </text>
    </comment>
    <comment ref="L6" authorId="0" shapeId="0">
      <text>
        <r>
          <rPr>
            <b/>
            <sz val="9"/>
            <color indexed="81"/>
            <rFont val="Tahoma"/>
            <family val="2"/>
          </rPr>
          <t>Elaborar la programación de obligaciones, si es necesario adiconar columnas</t>
        </r>
        <r>
          <rPr>
            <sz val="9"/>
            <color indexed="81"/>
            <rFont val="Tahoma"/>
            <family val="2"/>
          </rPr>
          <t xml:space="preserve">
</t>
        </r>
      </text>
    </comment>
    <comment ref="J7" authorId="0" shapeId="0">
      <text>
        <r>
          <rPr>
            <b/>
            <sz val="9"/>
            <color indexed="81"/>
            <rFont val="Tahoma"/>
            <family val="2"/>
          </rPr>
          <t>fecha de  radicación de la obligación</t>
        </r>
        <r>
          <rPr>
            <sz val="9"/>
            <color indexed="81"/>
            <rFont val="Tahoma"/>
            <family val="2"/>
          </rPr>
          <t xml:space="preserve">
</t>
        </r>
      </text>
    </comment>
    <comment ref="L7" authorId="0" shapeId="0">
      <text>
        <r>
          <rPr>
            <b/>
            <sz val="9"/>
            <color indexed="81"/>
            <rFont val="Tahoma"/>
            <family val="2"/>
          </rPr>
          <t>fecha de programación de radicación de la obligación</t>
        </r>
        <r>
          <rPr>
            <sz val="9"/>
            <color indexed="81"/>
            <rFont val="Tahoma"/>
            <family val="2"/>
          </rPr>
          <t xml:space="preserve">
</t>
        </r>
      </text>
    </comment>
    <comment ref="L209"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10" authorId="0" shapeId="0">
      <text>
        <r>
          <rPr>
            <b/>
            <sz val="9"/>
            <color indexed="81"/>
            <rFont val="Tahoma"/>
            <family val="2"/>
          </rPr>
          <t>fecha de  radicación de la obligación</t>
        </r>
        <r>
          <rPr>
            <sz val="9"/>
            <color indexed="81"/>
            <rFont val="Tahoma"/>
            <family val="2"/>
          </rPr>
          <t xml:space="preserve">
</t>
        </r>
      </text>
    </comment>
    <comment ref="L210" authorId="0" shapeId="0">
      <text>
        <r>
          <rPr>
            <b/>
            <sz val="9"/>
            <color indexed="81"/>
            <rFont val="Tahoma"/>
            <family val="2"/>
          </rPr>
          <t>fecha de programación de radicación de la obligación</t>
        </r>
        <r>
          <rPr>
            <sz val="9"/>
            <color indexed="81"/>
            <rFont val="Tahoma"/>
            <family val="2"/>
          </rPr>
          <t xml:space="preserve">
</t>
        </r>
      </text>
    </comment>
    <comment ref="L260"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61" authorId="0" shapeId="0">
      <text>
        <r>
          <rPr>
            <b/>
            <sz val="9"/>
            <color indexed="81"/>
            <rFont val="Tahoma"/>
            <family val="2"/>
          </rPr>
          <t>fecha de  radicación de la obligación</t>
        </r>
        <r>
          <rPr>
            <sz val="9"/>
            <color indexed="81"/>
            <rFont val="Tahoma"/>
            <family val="2"/>
          </rPr>
          <t xml:space="preserve">
</t>
        </r>
      </text>
    </comment>
    <comment ref="L261" authorId="0" shapeId="0">
      <text>
        <r>
          <rPr>
            <b/>
            <sz val="9"/>
            <color indexed="81"/>
            <rFont val="Tahoma"/>
            <family val="2"/>
          </rPr>
          <t>fecha de programación de radicación de la obligación</t>
        </r>
        <r>
          <rPr>
            <sz val="9"/>
            <color indexed="81"/>
            <rFont val="Tahoma"/>
            <family val="2"/>
          </rPr>
          <t xml:space="preserve">
</t>
        </r>
      </text>
    </comment>
    <comment ref="L27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76" authorId="0" shapeId="0">
      <text>
        <r>
          <rPr>
            <b/>
            <sz val="9"/>
            <color indexed="81"/>
            <rFont val="Tahoma"/>
            <family val="2"/>
          </rPr>
          <t>fecha de  radicación de la obligación</t>
        </r>
        <r>
          <rPr>
            <sz val="9"/>
            <color indexed="81"/>
            <rFont val="Tahoma"/>
            <family val="2"/>
          </rPr>
          <t xml:space="preserve">
</t>
        </r>
      </text>
    </comment>
    <comment ref="L276" authorId="0" shapeId="0">
      <text>
        <r>
          <rPr>
            <b/>
            <sz val="9"/>
            <color indexed="81"/>
            <rFont val="Tahoma"/>
            <family val="2"/>
          </rPr>
          <t>fecha de programación de radicación de la obligación</t>
        </r>
        <r>
          <rPr>
            <sz val="9"/>
            <color indexed="81"/>
            <rFont val="Tahoma"/>
            <family val="2"/>
          </rPr>
          <t xml:space="preserve">
</t>
        </r>
      </text>
    </comment>
    <comment ref="L303"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04" authorId="0" shapeId="0">
      <text>
        <r>
          <rPr>
            <b/>
            <sz val="9"/>
            <color indexed="81"/>
            <rFont val="Tahoma"/>
            <family val="2"/>
          </rPr>
          <t>fecha de  radicación de la obligación</t>
        </r>
        <r>
          <rPr>
            <sz val="9"/>
            <color indexed="81"/>
            <rFont val="Tahoma"/>
            <family val="2"/>
          </rPr>
          <t xml:space="preserve">
</t>
        </r>
      </text>
    </comment>
    <comment ref="L304" authorId="0" shapeId="0">
      <text>
        <r>
          <rPr>
            <b/>
            <sz val="9"/>
            <color indexed="81"/>
            <rFont val="Tahoma"/>
            <family val="2"/>
          </rPr>
          <t>fecha de programación de radicación de la obligación</t>
        </r>
        <r>
          <rPr>
            <sz val="9"/>
            <color indexed="81"/>
            <rFont val="Tahoma"/>
            <family val="2"/>
          </rPr>
          <t xml:space="preserve">
</t>
        </r>
      </text>
    </comment>
    <comment ref="L31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16" authorId="0" shapeId="0">
      <text>
        <r>
          <rPr>
            <b/>
            <sz val="9"/>
            <color indexed="81"/>
            <rFont val="Tahoma"/>
            <family val="2"/>
          </rPr>
          <t>fecha de  radicación de la obligación</t>
        </r>
        <r>
          <rPr>
            <sz val="9"/>
            <color indexed="81"/>
            <rFont val="Tahoma"/>
            <family val="2"/>
          </rPr>
          <t xml:space="preserve">
</t>
        </r>
      </text>
    </comment>
    <comment ref="L316" authorId="0" shapeId="0">
      <text>
        <r>
          <rPr>
            <b/>
            <sz val="9"/>
            <color indexed="81"/>
            <rFont val="Tahoma"/>
            <family val="2"/>
          </rPr>
          <t>fecha de programación de radicación de la obligación</t>
        </r>
        <r>
          <rPr>
            <sz val="9"/>
            <color indexed="81"/>
            <rFont val="Tahoma"/>
            <family val="2"/>
          </rPr>
          <t xml:space="preserve">
</t>
        </r>
      </text>
    </comment>
    <comment ref="L32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26" authorId="0" shapeId="0">
      <text>
        <r>
          <rPr>
            <b/>
            <sz val="9"/>
            <color indexed="81"/>
            <rFont val="Tahoma"/>
            <family val="2"/>
          </rPr>
          <t>fecha de  radicación de la obligación</t>
        </r>
        <r>
          <rPr>
            <sz val="9"/>
            <color indexed="81"/>
            <rFont val="Tahoma"/>
            <family val="2"/>
          </rPr>
          <t xml:space="preserve">
</t>
        </r>
      </text>
    </comment>
    <comment ref="L326"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sharedStrings.xml><?xml version="1.0" encoding="utf-8"?>
<sst xmlns="http://schemas.openxmlformats.org/spreadsheetml/2006/main" count="14429" uniqueCount="3163">
  <si>
    <t>NIVEL CENTRAL</t>
  </si>
  <si>
    <t>ASIGNADO REGIONAL VALLE</t>
  </si>
  <si>
    <t>ASIGNADO REGIONAL ATLANTICO</t>
  </si>
  <si>
    <t>ASIGNADO REGIONAL META</t>
  </si>
  <si>
    <t>FEBRERO</t>
  </si>
  <si>
    <t>MARZO</t>
  </si>
  <si>
    <t>ABRIL</t>
  </si>
  <si>
    <t>Enero</t>
  </si>
  <si>
    <t>MANTENIMIENTO DE LA INFRAESTRUCTURA FISICA DE LA RED A NIVEL NACIONAL</t>
  </si>
  <si>
    <t>MANTENIMIENTO DE EQUIPOS MICROCOMPUTADORES E IMPRESORAS Y SERVICIOS DE SOPORTE INFORMATICO, MESA DE AYUDA Y ATENCION A USUARIOS.</t>
  </si>
  <si>
    <t>ACTUALIZACIÓN Y SOPORTE TECNICO DEL SOFWARE DE BASE DE DATOS ORACLE</t>
  </si>
  <si>
    <t>Febrero</t>
  </si>
  <si>
    <t>ADQUISICIÓN DE HERRAMIENTAS Y REPUESTOS PARA EQUIPOS DE LA INFRAESTRUCTURA TECNOLOGICA INFORMATICA.</t>
  </si>
  <si>
    <t>MAYO</t>
  </si>
  <si>
    <t>SI</t>
  </si>
  <si>
    <t>INMUEBLES</t>
  </si>
  <si>
    <t>AERONÁUTICA CIVIL - AEROCIVIL</t>
  </si>
  <si>
    <t>ÁREA</t>
  </si>
  <si>
    <t>CUMPLIMIENTO</t>
  </si>
  <si>
    <t>SUB DIRECCIÓN GENERAL</t>
  </si>
  <si>
    <t>DIRECCIÓN DE TALENTO HUMANO</t>
  </si>
  <si>
    <t>DIRECCIÓN DE INFORMÁTICA</t>
  </si>
  <si>
    <t>SECRETARÍA DE SISTEMAS OPERACIONALES</t>
  </si>
  <si>
    <t>DIRECCIÓN DE SEGURIDAD Y SUPERVISIÓN AEROPORTUARIA</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</si>
  <si>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</si>
  <si>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</si>
  <si>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</si>
  <si>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</si>
  <si>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</si>
  <si>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</si>
  <si>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</si>
  <si>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CENTRO  DE  ESTUDIOS  AERONAUTICOS</t>
  </si>
  <si>
    <t xml:space="preserve">SECRETARÍA GENERAL </t>
  </si>
  <si>
    <t>ASIGNADO REGIONAL ANTIOQUIA</t>
  </si>
  <si>
    <t>ASIGNADO REGIONAL NORTE DE SANTANDER</t>
  </si>
  <si>
    <t>TELECOMUNICACIONES</t>
  </si>
  <si>
    <t>JUNIO</t>
  </si>
  <si>
    <t>NO</t>
  </si>
  <si>
    <t>ADQUISICION DE SERVICIOS DE VIGILANCIA  TECNICA PARA LAS ESTACIONES AERONAUTICAS.</t>
  </si>
  <si>
    <t>CONTROL OPERACIONAL PARA GARANTIZAR LA SEGURIDAD AEREA</t>
  </si>
  <si>
    <t>CERTIFICACIÓN AEROMÉDICA ESPECIAL DEL PERSONAL AERONÁUTICO: CONTROLADORES DE TRÁNSITO AÉREO, BOMBEROS AERONÁUTICOS Y OPERADORES DE ESTACIONES AERONÁUTICAS, A NIVEL NACIONAL.</t>
  </si>
  <si>
    <t>COMBUSTIBLE Y LUBRICANTES PARA VEHÍCULOS UTILIZADOS EN CONTROL OPERACIONAL EN RAMPA, PLATAFORMA E INVESTIGACION DE ACCIDENTES Y/O INCIDENTES.</t>
  </si>
  <si>
    <t>MANTENIMIENTO DE VEHICULOS PARA LA INSPECCION Y CONTROL OPERACIONAL</t>
  </si>
  <si>
    <t>ASISTENCIA TECNICA PARA EL CONTROL DE LA OPERACION AEREA</t>
  </si>
  <si>
    <t>ADQUISICION DE PRUEBAS PARA LA DETECCION DE SUSTANCIAS PSICOACTIVAS EN EL PERSONAL TECNICO AERONAUTICO - PROGRAMA DE ALCOHOL Y DROGAS -</t>
  </si>
  <si>
    <t>PRUEBAS PSICOTÉCNICAS.</t>
  </si>
  <si>
    <t>CALIBRACION DE EQUIPOS DE APOYO PARA EL CONTROL OPERACIONAL</t>
  </si>
  <si>
    <t>ADQUISICION DE SERVICIOS DE SEGURIDAD PARA EL CONTROL Y OPERACION DE LOS SISTEMAS DE SEGURIDAD AEROPORTUARIA Y AYUDAS A LA NAVEGACION AEREA.</t>
  </si>
  <si>
    <t>PROYECTO DE INVERSION</t>
  </si>
  <si>
    <t>APROPIACIÓN (millones)</t>
  </si>
  <si>
    <t>ENERO</t>
  </si>
  <si>
    <t>ADQUISICION DE ELEMENTOS DE PROTECCION PERSONAL</t>
  </si>
  <si>
    <t>ADQUISICION DE ELEMENTOS DE ERGONOMIA</t>
  </si>
  <si>
    <t>MANTENIMIENTO DE EQUIPOS DE SALUD OCUPACIONAL</t>
  </si>
  <si>
    <t>CONTRATAR SERVICIOS MEDICOS PARA EL PROGRAMA DE SALUD OCUPACIONAL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</si>
  <si>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</si>
  <si>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</si>
  <si>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</si>
  <si>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</si>
  <si>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PUBLICACIONES TÉCNICAS PARA LA SECRETARIA DE  SEGURIDAD AÉREA.</t>
  </si>
  <si>
    <t xml:space="preserve">COMPRA, SUSCRIPCIÓN Y ACTUALIZACIÓN VOLUMENES DE "REGLAMENTOS AERONÁUTICOS DE COLOMBIA"  </t>
  </si>
  <si>
    <t>ELABORAR DOCUMENTOS, PLEGABLES Y AFICHES PARA PREVENCIÓN DE ACCIDENTES</t>
  </si>
  <si>
    <t>ADQUISICION DE PLASTICOS DE IDENTIFICACION CON SEGURIDAD PERSONALIZADOS PREIMPRESOS E INSUMOS PARA EXPEDIR Y ELABORAR LICENCIAS TÉCNICAS</t>
  </si>
  <si>
    <t>PUBLICACIONES INFORMACION TECNICA  PARA VIGILANCIA  E INSPECCION OPERACIONAL y SMS</t>
  </si>
  <si>
    <t>CALIBRACION BASCULA PESAJE AERONAVES</t>
  </si>
  <si>
    <t>Solución informática para certificar y verificar la vinculación de la huella dactilar electrónica como firma electrónica certificada.  
(Vinculación con posible Convenio con la Registraduría Nacional).</t>
  </si>
  <si>
    <t>Adquirir Certificados Digitales SIIF</t>
  </si>
  <si>
    <t>ADQUISICION DE INSUMOS Y ELEMENTOS PARA LA OPERACION DE PUESTOS DE VIGILANCIA POLICIAL.</t>
  </si>
  <si>
    <t>Julio</t>
  </si>
  <si>
    <t>JULIO</t>
  </si>
  <si>
    <t>OCTUBRE</t>
  </si>
  <si>
    <t>OBSERVACIONES</t>
  </si>
  <si>
    <t>NA</t>
  </si>
  <si>
    <t xml:space="preserve"> </t>
  </si>
  <si>
    <t>MANTENIMIENTO Y CONSERVACION DE LA INFRAESTRUCTURA AEROPORTUARIA.</t>
  </si>
  <si>
    <t>ASIGNADO REGIONAL CUNDINAMARCA</t>
  </si>
  <si>
    <t>MEJORAMIENTO Y MANTENIMIENTO DE LA INFRAESTRUCTURA ADMINISTRATIVA A NIVEL NACIONAL</t>
  </si>
  <si>
    <t>MANTENIMIENTO INSTALACIONES ADMINISTRATIVAS</t>
  </si>
  <si>
    <t>CUCUTA</t>
  </si>
  <si>
    <t>DICIEMBRE</t>
  </si>
  <si>
    <t>ARAUCA</t>
  </si>
  <si>
    <t>ADECUACION MANTENIMIENTO Y MEJORAMIENTO DE LA INFRAESTRUCTURA AMBIENTAL AEROPORTUARIA.</t>
  </si>
  <si>
    <t>MANTENIMIENTO DE SISTEMAS DE TRATAMIENTO DE AGUAS</t>
  </si>
  <si>
    <t>REGIONAL</t>
  </si>
  <si>
    <t>MANTENIMIENTO DE INSTALACIONES HIDRAULICAS Y SANITARIAS.</t>
  </si>
  <si>
    <t>PROGRAMAS DE CONTROL GEOTECNICO.</t>
  </si>
  <si>
    <t>MATERIALES E INSUMOS PARA EL FUNCIONAMIENTO DE LA INFRAESTRUCTURA AMBIENTAL</t>
  </si>
  <si>
    <t>TRAMITES DE EVALUACION ANTE AUTORIDADES AMBIENTALES.</t>
  </si>
  <si>
    <t>MANTENIMIENTO Y CONSERVACION DEL SISTEMA DE TELECOMUNICACIONES Y AYUDAS A LA NAVEGACION AEREA A NIVEL NACIONAL</t>
  </si>
  <si>
    <t>AGOSTO</t>
  </si>
  <si>
    <t>NOVIEMBRE</t>
  </si>
  <si>
    <t>SEPTIEMBRE</t>
  </si>
  <si>
    <t>GASTOS GENERALES</t>
  </si>
  <si>
    <t>ADQUISICION DE EQUIPOS DE RESCATE SEI-SAR</t>
  </si>
  <si>
    <t>RECARGUE DE EXTINTORES.</t>
  </si>
  <si>
    <t>ADQUISICION DE COMBUSTIBLES Y LUBRICANTES SEI-SAR.</t>
  </si>
  <si>
    <t>APLICACION DE LOS PROGRAMAS DE SALUD OCUPACIONAL.</t>
  </si>
  <si>
    <t>S.O - MANTENIMIENTO DE EQUIPOS DE SALUD OCUPACIONAL.</t>
  </si>
  <si>
    <t>S.O - ADQUISICION DE BOTIQUINES Y MEDICAMENTOS.</t>
  </si>
  <si>
    <t>S.O - ADQUISICION DE EQUIPOS Y ELEMENTOS  PRIMEROS AUXILIOS.</t>
  </si>
  <si>
    <t>S.O - CONTRATACION  DE LAS ACTIVIDADES DE SEÑALIZACION Y DEMARCACION.</t>
  </si>
  <si>
    <t>B.S BIENESTAR SOCIAL - REALIZACION DE EVENTOS DEPORTIVOS Y DOTACION.</t>
  </si>
  <si>
    <t>B.S - REALIZACION VACACIONES RECREATIVAS PARA HIJOS DE FUNCIONARIOS.</t>
  </si>
  <si>
    <t>ADQUISICION DE SERVICIOS MEDICOS PARA EL PROGRAMA DE SALUD OCUPACIONAL.</t>
  </si>
  <si>
    <t>CAPACITACION PERSONAL TECNICO Y ADMINISTRATIVO</t>
  </si>
  <si>
    <t>Regional Valle</t>
  </si>
  <si>
    <t>ADQUISICION DE EQUIPOS DE PROTECCION Y EXTINCION DE INCENDIOS BUSQUEDA Y RESCATE.</t>
  </si>
  <si>
    <t>CALI</t>
  </si>
  <si>
    <t>ARMENIA</t>
  </si>
  <si>
    <t>POPAYAN</t>
  </si>
  <si>
    <t>BUENAVENTURA</t>
  </si>
  <si>
    <t>GUAPI</t>
  </si>
  <si>
    <t>IPIALES</t>
  </si>
  <si>
    <t>PASTO</t>
  </si>
  <si>
    <t>TUMACO</t>
  </si>
  <si>
    <t>CAPACITACION PERSONAL TECNICO Y ADMINISTRATIVO.</t>
  </si>
  <si>
    <t>TOTAL</t>
  </si>
  <si>
    <t xml:space="preserve"> NIVEL CENTRAL</t>
  </si>
  <si>
    <t xml:space="preserve">ADQUISICION DE EQUIPOS PARA EL DESARROLLO  DEL PROGRAMA DE SALUD OCUPACIONAL  </t>
  </si>
  <si>
    <t xml:space="preserve">CONTRATAR PROGRAMAS DE INTERVENCION EN VIGILANCIA EPIDEMIOLOGICA </t>
  </si>
  <si>
    <t>ASIGANDO REGIONAL ANTIOQUIA</t>
  </si>
  <si>
    <t xml:space="preserve">CONTRATAR ACTIVIDADES DE SEÑALIZACION Y DEMARCACION </t>
  </si>
  <si>
    <t>EVENTOS DEPORTIVOS CON DOTACIÓN</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</si>
  <si>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</si>
  <si>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</si>
  <si>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</si>
  <si>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</si>
  <si>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</si>
  <si>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</si>
  <si>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REGINAL NORTE SANTANDER</t>
  </si>
  <si>
    <t>DOTACION CENTROS VACACIONALES</t>
  </si>
  <si>
    <t>OBJETO DE LA CONTRATACION</t>
  </si>
  <si>
    <t>si</t>
  </si>
  <si>
    <t>Contratar el mantenimiento de los equipos de Salud Ocupacional</t>
  </si>
  <si>
    <t>Contratar la prestacion de servicios medicos para el programa de Salud Ocupacional</t>
  </si>
  <si>
    <t>Contatar programas de intervencion en vigilancia epidemiologica</t>
  </si>
  <si>
    <t xml:space="preserve">Contratar servicios de acondicionamiento fisico en las instalaciones de la Entidad </t>
  </si>
  <si>
    <t>Contratar actividades de intervencion para la prevencion en el uso de alcohol y sustancias psicoactivas</t>
  </si>
  <si>
    <t>Contrtar la aquisicion de botiquines e insumos para botiquines</t>
  </si>
  <si>
    <t>Contratar la adquisicion de elementos para brigadas de emergencia</t>
  </si>
  <si>
    <t>Contratar el desarrollo de programas de Bienestar Social a través de eventos deportivos, recreativos,  incluyen suministro de elementos e implementos deportivos, preparación al futuro pensionado, vacaciones recreativas para hijos de los funcionarios.  Estas actividades van dirigidas a funcionarios y su núcleo familiar</t>
  </si>
  <si>
    <t xml:space="preserve">Adquisición de Licencias Microsoft Office 365  </t>
  </si>
  <si>
    <t>MANTENIMIENTO DE PISTAS</t>
  </si>
  <si>
    <t>MANTENIMIENTO DE ZONAS DE SEGURIDAD Y CANALES</t>
  </si>
  <si>
    <t>MANTENIMIENTO DE TERMINALES</t>
  </si>
  <si>
    <t>Septiembre</t>
  </si>
  <si>
    <t>MEJORAMIENTO Y RECUPERACION ESTACIONES DE RADIOAYUDAS A NIVEL NACIONAL.</t>
  </si>
  <si>
    <t>MANTENIMIENTO GENERAL INFRAESTRUCTURA ESTACIONES AERONAUTICAS</t>
  </si>
  <si>
    <t>MANTENIMIENTO, CONSERVACION Y ACTUALIZACION DE LOS SISTEMAS DE RADAR.</t>
  </si>
  <si>
    <t>MANTENIMIENTO, CONSERVACION Y ACTUALIZACION DE LOS SISTEMAS DE ENERGIA Y SISTEMAS COMPLEMENTARIOS.</t>
  </si>
  <si>
    <t>MANTENIMIENTO DE VEHICULO.</t>
  </si>
  <si>
    <t>ADQUISICION DE COMBUSTIBLE.</t>
  </si>
  <si>
    <t>GASTOS DE TRANSPORTE DE EQUIPOS, REPUESTOS, ACCESORIOS  Y PERSONAL, NECESARIOS PARA REALIZAR LABORES DE MANTENIMIENTO Y/O INSTALACION DE SISTEMAS DE TELECOMUNICACIONES Y AYUDAS A LA NAVEGACION AEREA.</t>
  </si>
  <si>
    <t>ADQUISICION E INSTALACION DE REPUESTO PARA EL MANTENIMIENTO DE LOS SISTEMAS DE TELECOMUNICACIONES Y COMPLEMENTARIOS.</t>
  </si>
  <si>
    <t>MANTENIMIENTO Y CONSERVACION DE EQUIPOS Y SISTEMAS AEROPORTUARIOS A NIVEL NACIONAL.</t>
  </si>
  <si>
    <t>MANTENIMIENTO PREVENTIVO Y CORRECTIVO DE EQUIPOS PARA LOS SISTEMAS AEROPORTUARIOS.</t>
  </si>
  <si>
    <t>BOMBILLERIA AREAS PUBLICAS AEROPUERTO ASOCIADOS CON LA OPERACION AEREA.</t>
  </si>
  <si>
    <t>ADQUISICION MATERIALES E INSUMOS AEROPORTUARIOS.</t>
  </si>
  <si>
    <t>ADQUISICION DE HERRAMIENTAS, ELEMENTOS Y MATERIALES PARA MANTENIMIENTO DE EQUIPOS Y SISTEMAS MECANICOS.</t>
  </si>
  <si>
    <t>ADQUISICION DE HERRAMIENTAS, ELEMENTOS FUNGIBLES, ACCESORIOS Y MATERIALES PARA EL MANTENIMIENTO DE EQUIPOS Y SISTEMAS ELECTRICOS.</t>
  </si>
  <si>
    <t>APLICACIÓN DE LOS PROGRAMAS DE SALUD OCUPACIONAL</t>
  </si>
  <si>
    <t xml:space="preserve">SI </t>
  </si>
  <si>
    <t>Nivel Central</t>
  </si>
  <si>
    <t>CERRO KENNEDY</t>
  </si>
  <si>
    <t>SEVILLANO</t>
  </si>
  <si>
    <t>SAN ANDRES Y PROVIDENCIA</t>
  </si>
  <si>
    <t>ADQUISICION ELEMENTOS DE CONSUMO PARA IMPRESIÓN EN SISTEMAS F.D.P. Y TERMINALES I.A.T.</t>
  </si>
  <si>
    <t>SANTA MARTA</t>
  </si>
  <si>
    <t>CARTAGENA</t>
  </si>
  <si>
    <t>SAN ANDRES</t>
  </si>
  <si>
    <t>BARRANQUILLA</t>
  </si>
  <si>
    <t>RUBRO</t>
  </si>
  <si>
    <t>DESCRIPCION</t>
  </si>
  <si>
    <t>UNI NEG</t>
  </si>
  <si>
    <t>REGIONAL META</t>
  </si>
  <si>
    <t>MANTENIMIENTO DE PISTAS.</t>
  </si>
  <si>
    <t>MANTENIMIENTO DE INFRAESTRUCTURA COMPLEMENTARIA</t>
  </si>
  <si>
    <t>MANTENIMIENTO DE SISTEMAS DE MANEJO Y DISPOSICION DE RESIDUOS SOLIDOS.</t>
  </si>
  <si>
    <t>GASTOS OPERATIVOS</t>
  </si>
  <si>
    <t>MANTENIMIENTO DE ZONAS DE SEGURIDAD Y CANALES.</t>
  </si>
  <si>
    <t>MANTENIMIENTO DE TERMINALES.</t>
  </si>
  <si>
    <t>MANTENIMIENTO Y CONSERVACION DE EQUIPOS DE EXTINCION DE INCENDIOS Y BUSQUEDA Y RESCATE.</t>
  </si>
  <si>
    <t>S.O - ADQUISICION DE EQUIPOS Y ELEMENTOS ERGONOMICOS.</t>
  </si>
  <si>
    <t>CONTRATACION DOCENTES, ASESORES PROFESIONALES EXPERTOS ACADEMICOS Y AUXILIARES DE LABORATORIO PARA EL DESARROLLO DE PROGRAMAS ACADEMICOS</t>
  </si>
  <si>
    <t>MANTENIMIENTO, CONSERVACIÓN Y ACTUALIZACIÓN DE LOS SISTEMAS DE METEOROLOGÍA</t>
  </si>
  <si>
    <t>R58B012</t>
  </si>
  <si>
    <t>U.A.E AERONAUTICA CIVIL</t>
  </si>
  <si>
    <t>Nivel: Rubros de Actividades</t>
  </si>
  <si>
    <t>NIT: 899.999.059-3</t>
  </si>
  <si>
    <t>Hoja No.</t>
  </si>
  <si>
    <t>EJECUCION PRESUPUESTAL GASTOS POR UNIDAD DE NEGOCIO Y RECURSO</t>
  </si>
  <si>
    <t>( Septiembre 30 de 2014 )</t>
  </si>
  <si>
    <t>PRESUPUESTO</t>
  </si>
  <si>
    <t>DISPONIBILIDADES</t>
  </si>
  <si>
    <t>COMPROMISOS</t>
  </si>
  <si>
    <t>OBLIGACIONES</t>
  </si>
  <si>
    <t>RECURSO</t>
  </si>
  <si>
    <t>APROBADO</t>
  </si>
  <si>
    <t>X EJECUTAR</t>
  </si>
  <si>
    <t>EXPEDIDAS</t>
  </si>
  <si>
    <t>EXPEDIDOS</t>
  </si>
  <si>
    <t>PAGOS</t>
  </si>
  <si>
    <t>INVERSION</t>
  </si>
  <si>
    <t>TRANSPORTE AEREO</t>
  </si>
  <si>
    <t>SUBPROYECTO</t>
  </si>
  <si>
    <t>MEJORAMIENTO VIAS DE ACCESO ESTACIONES AERONAUTICAS.</t>
  </si>
  <si>
    <t>INGRESOS CORRIENTES</t>
  </si>
  <si>
    <t>MANTENIMIENTO CASA DE PLANTA Y CUARTOS ELECTRICOS.</t>
  </si>
  <si>
    <t>MANTENIMIENTO PREVENTIVO Y CORRECTIVO DE VEHICULOS DE RESCATE SEI - SAR.</t>
  </si>
  <si>
    <t>GASTOS OPERATIVOS.</t>
  </si>
  <si>
    <t>S.O - SALUD OCUPACIONAL - CONTROL Y MINIMIZACION DE RIESGOS (EPP).</t>
  </si>
  <si>
    <t>S.O. PROGRAMA PARA EL DIAGNOSTICO, INTERVENCION Y FORTALECIMIENTO DEL CLIMA LABORAL EN LA ENTIDAD</t>
  </si>
  <si>
    <t>S.O - PROGRAMA DE PRIMEROS AUXILIOS.</t>
  </si>
  <si>
    <t>S.O - SUBPROGRAMA DE HIGIENE Y SEGURIDAD INDUSTRIAL.</t>
  </si>
  <si>
    <t>B.S - DOTACION CENTROS VACACIONALES Y DEPORTIVOS.</t>
  </si>
  <si>
    <t>ELABORACION DE PLANES DE MANEJO AMBIENTAL, DIAGNOSTICOS AMBIENTALES.</t>
  </si>
  <si>
    <t>PROGRAMAS DE FORMACIÓN, CAPACITACIÓN, ACTUALIZACIÓN Y ENTRENAMIENTO PARA LA SEGURIDAD OPERACIONAL Y PROGRAMAS DIRIGIDOS A FUNCIONARIOS DE LA ENTIDAD</t>
  </si>
  <si>
    <t>EN EJECUCIÓN</t>
  </si>
  <si>
    <t>*</t>
  </si>
  <si>
    <t>ADQUISICION, INSTALACION, AUTOMATIZACION Y PUESTA EN SERVICIO DE SISTEMAS Y EQUIPOS DE ENERGIA</t>
  </si>
  <si>
    <t>ADJUDICADO</t>
  </si>
  <si>
    <t>MANTENIMIENTO DE CUARTELES DE BOMBEROS.</t>
  </si>
  <si>
    <t>PEREIRA</t>
  </si>
  <si>
    <t>EJECUTADO</t>
  </si>
  <si>
    <t>REGIONAL ATLÁNTICO</t>
  </si>
  <si>
    <t xml:space="preserve">MANTENIMIENTO DE SISTEMAS DE TRATAMIENTO DE AGUAS </t>
  </si>
  <si>
    <t>LEVANTAMIENTO DE INFORMACIÓN PARA ESTUDIOS, PLANES Y PROGRAMAS AMBIENTALES</t>
  </si>
  <si>
    <t>AERONAUTICA CIVIL
Cronogramas de Inversión
Dependencia: SUBDIRECCION GENERAL</t>
  </si>
  <si>
    <t>VIGENCIA 2015</t>
  </si>
  <si>
    <t>UBICACIÓN 
(sitio donde se desarrolla el gasto)</t>
  </si>
  <si>
    <t>SE ENCUENTRA INCLUIDO EN EL PLAN DE NAVEGACION AEREA PARA COLOMBIA</t>
  </si>
  <si>
    <t>VALOR
 (incluído 4*1000)</t>
  </si>
  <si>
    <t xml:space="preserve">MES RADICACION DEL PROYECTO EN ADMINISTRATIVA </t>
  </si>
  <si>
    <t>FECHA DE ADJUDICACION DEL CONTRATO</t>
  </si>
  <si>
    <t>EJECUCION CONTRATO</t>
  </si>
  <si>
    <t>SEGUIMIENTO A MARZO 31 DE 2015</t>
  </si>
  <si>
    <t>ANTICIPO</t>
  </si>
  <si>
    <t xml:space="preserve"> OBLIGACIONES </t>
  </si>
  <si>
    <t>SI/NO</t>
  </si>
  <si>
    <t>fecha (Mes)</t>
  </si>
  <si>
    <t>Valor</t>
  </si>
  <si>
    <t xml:space="preserve">Suministro de combustible y lubricanes para el equipo aéreo de la Entidad.  </t>
  </si>
  <si>
    <t>Bogotá</t>
  </si>
  <si>
    <t>Suministro de combustible y lubricanes para el equipo aéreo de la Entidad, aeronaves Super King B200 HK 3554 G; Cessna Caravan C208 HK 3200 G y Agusta A109C HK 3661 G.</t>
  </si>
  <si>
    <t>MARZO                       JUNIO                              SEPTIEMBRE DICIEMBRE</t>
  </si>
  <si>
    <t>$100.000.000                                          $184.000.000                         $184.000.000                                                                                            $142.000.000</t>
  </si>
  <si>
    <t>Reserva para imprevistos.</t>
  </si>
  <si>
    <t>Mantenimiento  de equipo aéreo.</t>
  </si>
  <si>
    <r>
      <t>Mantenimiento preventivo, correctivo del</t>
    </r>
    <r>
      <rPr>
        <b/>
        <sz val="10"/>
        <rFont val="Arial"/>
        <family val="2"/>
      </rPr>
      <t xml:space="preserve"> equipo aereo de la entidad aeronaves Cessna Caravan C208 HK 3200 G y Super King B200 HK 3554 G.  </t>
    </r>
  </si>
  <si>
    <t>$86.000.000                                          $326.000.000                                                   $327.000.000                                                          $324.000.000</t>
  </si>
  <si>
    <t>Conservacion  de  Equipo  Aereo</t>
  </si>
  <si>
    <t>Conservacion del Equipo Aereo de la entidad aeronaves Cessna Caravan C208 HK 3200 G y Super King B200 HK 3554 G.</t>
  </si>
  <si>
    <t xml:space="preserve">                           SEPTIEMBRE </t>
  </si>
  <si>
    <t xml:space="preserve">Adquisición equipo de tierra para el sistema de inspección en vuelo NORMARC NM 3625B. </t>
  </si>
  <si>
    <t>Sistema de inspección en vuelo para la calibración de ayudas a la navegación aérea de Colombia.</t>
  </si>
  <si>
    <t>Contratar la adquisicion de elementos de proteccion personal, según matriz de riesgos.</t>
  </si>
  <si>
    <t>MARZO 30/15</t>
  </si>
  <si>
    <t>JUNIO 30/15</t>
  </si>
  <si>
    <t>NO APLICA</t>
  </si>
  <si>
    <t>AGOSTO 28/15</t>
  </si>
  <si>
    <t>SEGÚN VALOR ADJUDICADO</t>
  </si>
  <si>
    <t>No  fue posible radicar en marzo/15,  se  requeria concepto  sobre  item chaquetas, a la fecha  hoy se  gestiono estudio de mercado.</t>
  </si>
  <si>
    <t xml:space="preserve"> REGIONAL CUNDINAMARCA</t>
  </si>
  <si>
    <t>REGIONAL ANTIOQUIA</t>
  </si>
  <si>
    <t>REGIONAL  ATLANTICO</t>
  </si>
  <si>
    <t>REGIONAL VALLE</t>
  </si>
  <si>
    <t>REGIONAL NORTE DE SANTANDER</t>
  </si>
  <si>
    <t>Pendientede adjudicar</t>
  </si>
  <si>
    <t>Contratar la adquisicion de equipos para el desarrollo del programas de  Salud Ocupacional</t>
  </si>
  <si>
    <t>REGIONAL CUNDINAMARCA</t>
  </si>
  <si>
    <t>ABRIL 30/15</t>
  </si>
  <si>
    <t>JULIO 30/15</t>
  </si>
  <si>
    <t>Contratar la adquisicion de elementos de ergonomia ( Reposapies, Muse Pad, Apoya muñecas)</t>
  </si>
  <si>
    <t>15 de abril715 se solicito CDP, proyecto dentro de los tiempos del  cronograma.</t>
  </si>
  <si>
    <t>REGIONAL ATLANTICO</t>
  </si>
  <si>
    <t>JULIO 30/16</t>
  </si>
  <si>
    <t>JULIO 30/17</t>
  </si>
  <si>
    <t>JULIO 30/18</t>
  </si>
  <si>
    <t>JULIO 30/19</t>
  </si>
  <si>
    <t>MAYO 15/15</t>
  </si>
  <si>
    <t>OCTUBRE 30/15</t>
  </si>
  <si>
    <t xml:space="preserve">El proceso se declaro desierto, nuevamente se </t>
  </si>
  <si>
    <t>Se solicito CDP</t>
  </si>
  <si>
    <t>FEBRERO 16/15</t>
  </si>
  <si>
    <t>MARZO 24/15</t>
  </si>
  <si>
    <t>AVANCE MENSUAL</t>
  </si>
  <si>
    <t>SEGÚN AVANCE DEL CONTRATO Y PLAZO DE EJECUCION</t>
  </si>
  <si>
    <t xml:space="preserve">6 de marzo/15 se radico en Direccion Administrativa
16 de abril/15  se encuentra en proceso de adjudicacion </t>
  </si>
  <si>
    <t>Contrato adjudicado</t>
  </si>
  <si>
    <t>REGIONMAL META</t>
  </si>
  <si>
    <t>FEBRERO27/15</t>
  </si>
  <si>
    <t xml:space="preserve">12 de marzo/15 se radico en la Direccion Administrativa , pliegos publicados el 15 de abril/15, se cierra para presentacion de ofertas 24 de abril/15 </t>
  </si>
  <si>
    <t>O</t>
  </si>
  <si>
    <t>SEGÚN ANAVCE DEL CONTRATO Y PLAZO DE EJECUCION</t>
  </si>
  <si>
    <t xml:space="preserve">6 de marzo/15 se radico en Direccion Administrativa, se adelanto la evaluacion tecnica, actualmente en la etapa de respuesta a  observaciones.
</t>
  </si>
  <si>
    <t>17 de marzo se encuetra publicado</t>
  </si>
  <si>
    <t xml:space="preserve">NO </t>
  </si>
  <si>
    <t>Se solicto CDP</t>
  </si>
  <si>
    <t>14 DEl proceso se declara desierto  y nuevamente se solicta apertura, se encuentra en proceso de firmas para nueva publicacion</t>
  </si>
  <si>
    <t xml:space="preserve">
Contratar actividades de señalizacion y demarcacion 
</t>
  </si>
  <si>
    <t>11 de marzo/15 se radico en Direccion Administrativa, se realizo evaluacion técnica pendiente adjudicacion.</t>
  </si>
  <si>
    <t xml:space="preserve">REGIONAL ANTIOQUIA </t>
  </si>
  <si>
    <t>2 de marzo se expide CDP
20 de marzo/15  se radica en Direccion Administrativa
 8 de abril/15 sale minuta para correccion 14 de abril la Direccion de Talento humano  devuelve la minuta con correcciones 
17  de abril  se remite contrato  para revision y firmas a Compensar</t>
  </si>
  <si>
    <t>Solicito CDP</t>
  </si>
  <si>
    <t>Adquisicion de dotacion para centros vacacionales</t>
  </si>
  <si>
    <t>ASIGNADO REGIONMAL CUNDINAMARCA</t>
  </si>
  <si>
    <t>AERONAUTICA CIVIL
Cronogramas de Inversión
Dependencia:   DIRECCION DE TALENTO HUMANO</t>
  </si>
  <si>
    <t>AERONAUTICA CIVIL</t>
  </si>
  <si>
    <t>Cronogramas de Inversión</t>
  </si>
  <si>
    <t>MES SOLICITUD DE CDP</t>
  </si>
  <si>
    <t>REQUIERE TRAMITE DE VIGENCIA FUTURA?</t>
  </si>
  <si>
    <t>Adquisición de sistemas y servicios informáticos para el plan nacional de informática (Rubro:  213608018)</t>
  </si>
  <si>
    <t xml:space="preserve">213608018000001
ADQUISICION, INSTALACION Y PUESTA EN FUNCIONAMIENTO DE MICROCOMPUTADORES </t>
  </si>
  <si>
    <t xml:space="preserve">Adquisición, instalación y puesta en funcionamiento de PCs 530 pcs y portátiles 50
Cambio de Equipos desktop viejos 80 PcSamrt y 450 HP6000 pro, (cumplen 5 años de uso el próximo año) </t>
  </si>
  <si>
    <t>Adquisición, instalación y puesta en funcionamiento de Computadores</t>
  </si>
  <si>
    <t>213608018000002
ADQUISICION, INSTALACION Y PUESTA EN FUNCIONAMIENTO DE IMPRESORAS</t>
  </si>
  <si>
    <t xml:space="preserve">Adquisición, instalación y puesta en funcionamiento de Impresoras.  </t>
  </si>
  <si>
    <t>Se incluye como servicio de impresión administrada dentro del proceso  de Mesa de Servicios que va por Vigencias Futuras hasta 2018</t>
  </si>
  <si>
    <t>213608018000003
ADQUISICION, INSTALACION Y PUESTA EN FUNCIONAMIENTO DE SERVIDORES CORPORATIVOS</t>
  </si>
  <si>
    <t>Cambio de Sistema de Almacenamiento SAN y servidores de
Bases de Datos Oracle de Desarrollo</t>
  </si>
  <si>
    <t>Adquisición, instalación y puesta en funcionamiento de Servidores</t>
  </si>
  <si>
    <t>213608018000004
ADQUISICION, INSTALACION Y PUESTA EN FUNCIONAMIENTO DE EQUIPOS PERIFERICOS</t>
  </si>
  <si>
    <t>Scanner (20 escaner a nivel nacional - aeropuertos y nivel central y habilitación ADI en alrededor 10 aeropuertos más)</t>
  </si>
  <si>
    <t xml:space="preserve">Adquisición, instalación y puesta en funcionamiento de Equipos Periféricos - SCANNERS </t>
  </si>
  <si>
    <t>213608018000006
ADQUISICION, INSTALACION Y PUESTA EN FUNCIONAMIENTO DE LICENCIAS PARA LA RED DE INFORMACION.</t>
  </si>
  <si>
    <t>Adquisición de Licencias de Software Office 365</t>
  </si>
  <si>
    <t>Adquisición de las licencias de Software RAMS PLUS.</t>
  </si>
  <si>
    <t xml:space="preserve">213608018000007
ADQUISICION, INSTALACION Y PUESTA EN FUNCIONAMIENTO DE UNA ESTRUCTURA DE CABLEADO LOCAL QUE SOPORTE MAYOR CAPACIDAD PARA LAS DIFERENTES AREAS DE LA ENTIDAD. </t>
  </si>
  <si>
    <t>Adquisición, instalación y puesta en funcionamiento de cableado estructurado en los aeropuertos de las ciudades de Bucaramanga, Guaymaral, Pasto, Popayán, Riohacha, Leticia, Mariquita, Buenaventura, Santa Marta, Bahía Solano, Cartago, Corozal, San Vicente del Caguán, Tame, Guapi, San José del Guaviare, Saravena.</t>
  </si>
  <si>
    <t>Adquisición, istalación y puesta en funcionamiento de estructuras de cableado estructurado.</t>
  </si>
  <si>
    <t>213608018000010
ADQUISICION, INSTALACION Y PUESTA EN FUNCIONAMIENTO DE SOLUCIONES INFORMATICAS PARA LAS AREAS ADMINISTRATIVAS, OPERATIVAS Y DE MISION DE LA ENTIDAD</t>
  </si>
  <si>
    <t>Solución especifica de VideoConferencia Nivel Central y Direcciones Regionales</t>
  </si>
  <si>
    <t>Adquisición, instalación y puesta en funcionamiento de solución de Videoconferencia para el Nivel Central y las Direcciones Regionales de la Entidad</t>
  </si>
  <si>
    <t>Solución de Servicios Integrados de Impresión administrada para Nivel Central y las Direcciones regionales.</t>
  </si>
  <si>
    <t>SI
SE INTEGRA AL PROCESO DE MESA DE SERVICIOS - VIGENCIA FUTURA HASTA 2018</t>
  </si>
  <si>
    <t>Adquisición, instalación y puesta en funcionamiento de solución informática de verificación de identidad personal mediante huella dactilar electrónica certificada.</t>
  </si>
  <si>
    <t>SI
DEBIDO A LA COMPLEJIDAD SE ESTIMA UN TIEMPO DE EJECUCION NO MENOS A DIEZ MESES</t>
  </si>
  <si>
    <t>Adquisición de Certificados Digitales.</t>
  </si>
  <si>
    <t>Migración portales Internet, Intranet de la Entidad.
(Fase -  Entrega documento de entendimiento y validación de requerimientos funcionales y técnicos)</t>
  </si>
  <si>
    <t xml:space="preserve">Migración de portales Internet, Intranet  </t>
  </si>
  <si>
    <t>Migración de la solucion implementada para la Aerocivil bajo Google Earth Enterprise Fusion y Server a la plataforma Google Maps Engine</t>
  </si>
  <si>
    <t>213608018000016
ADQUISICION, INSTALACION Y PUESTA EN FUNCIONAMIENTO DE EQUIPOS Y SOFTWARE PARA ADMINISTRACION DE LA RED.</t>
  </si>
  <si>
    <t>Adquisición, instalación y puesta en funcionamiento de equipos activos de red en los aeropuertos de las ciudades de Bucaramanga, Guaymaral, Pasto, Popayán, Riohacha, Leticia, Mariquita, Buenaventura, Santa Marta, Bahía Solano, Cartago, Corozal, San Vicente del Caguán, Tame, Guapi, San José del Guaviare, Saravena. En este contrato de equipos activos se incluirá la solución de red inalámbrica.</t>
  </si>
  <si>
    <t>Adquisición, instalación y puesta en funcionamiento de Equipos Activos de Red.</t>
  </si>
  <si>
    <t>213608018000021
ADQUISICION E IMPLEMENTACION DE LOS SERVICIOS DE CANALES DE COMUNICACIONES PARA LOS SISTEMAS DE INFORMACIÓN.</t>
  </si>
  <si>
    <t>Adquisición e implementación de los servicios de canales de comunicaciones para los sistemas de información de la Entidad.</t>
  </si>
  <si>
    <t xml:space="preserve">213608018000014
ADQUISICION, INSTALACION Y PUESTA EN FUNCIONAMIENTO DE HARDWARE Y/O SOFTWARE PARA LA SEGURIDAD INFORMATICA DE LA ENTIDAD </t>
  </si>
  <si>
    <t>Contratar el Análisis e Implementación SGSI Fase I 
Defensa de la red de datos de la UAEAC - Fase II</t>
  </si>
  <si>
    <t>Mantenimiento y conservación de equipos de computación (Rubro:  212-608-004)</t>
  </si>
  <si>
    <t>MANTENIMIENTO DE SERVIDORES y APPLIANCES</t>
  </si>
  <si>
    <t xml:space="preserve">Mantenimiento de servidores </t>
  </si>
  <si>
    <t>Debido a que los servidores se encuentran en garantía el valor pasa a mesa de servicios para completar el ppto requerido</t>
  </si>
  <si>
    <t>Mantenimiento  de la  infraestructura fisica de la red a nivel nacional</t>
  </si>
  <si>
    <t>Se inicia proceso para 3 meses y el presupuesto restante pasa a mesa de servicios ya que el soporte a red queda integrado.</t>
  </si>
  <si>
    <t>Prorroga contrato 12000235-OJ  hasta 30 de junio de 2015</t>
  </si>
  <si>
    <t>Vigencias futuras mesa de ayuda</t>
  </si>
  <si>
    <t>Contratar una mesa de servicios integrados de soporte tecnico y mantenimiento para los equipos de computo y red de datos y la adquisicion de una solución de servicios informaticos integrados de impresión para las areas de la entidad.</t>
  </si>
  <si>
    <t>Se incrementa el presupuesto para este proceso debido a la inclusión de los servicios adicionales de soporte a red</t>
  </si>
  <si>
    <t>SOPORTE TECNICO AL SOFWARE DE BASE DE DATOS Y PRODUCTOS ORACLE</t>
  </si>
  <si>
    <t>Esta adquisición se incluye en la mesa de servicios y el valor se traslada para completar el ppto requerido.</t>
  </si>
  <si>
    <t>SOPORTE A LOS SISTEMAS DE INFORMACION DE LA ENTIDAD</t>
  </si>
  <si>
    <t>Soporte JDEdwards (PAF)</t>
  </si>
  <si>
    <t>Soporte ALFAGL (Tesoreria)</t>
  </si>
  <si>
    <t>Soporte SITAH (Nómina)</t>
  </si>
  <si>
    <t>Soporte SIGMA</t>
  </si>
  <si>
    <t>Soporte ADI</t>
  </si>
  <si>
    <t>Soporte SETA</t>
  </si>
  <si>
    <t>Soporte GIS SIA/AIM (Proced. ATS)</t>
  </si>
  <si>
    <t>Soporte premier Microsoft</t>
  </si>
  <si>
    <t>Soporte ORION (Procesos Judiciales)</t>
  </si>
  <si>
    <t>Compendios jurídicos</t>
  </si>
  <si>
    <t>Soporte del sistema vigente.</t>
  </si>
  <si>
    <t xml:space="preserve"> Dataprotector</t>
  </si>
  <si>
    <t xml:space="preserve"> BSM</t>
  </si>
  <si>
    <t xml:space="preserve">Sistema SIGA ( Indra ) </t>
  </si>
  <si>
    <t xml:space="preserve"> ControlT</t>
  </si>
  <si>
    <t xml:space="preserve"> Isolucion</t>
  </si>
  <si>
    <t xml:space="preserve"> BI - Cognos</t>
  </si>
  <si>
    <t xml:space="preserve">El contrato se ejecutará por Telecomunicaciones. </t>
  </si>
  <si>
    <t xml:space="preserve"> Soporte JBOSS</t>
  </si>
  <si>
    <t>Mantenimiento licencias SPSS</t>
  </si>
  <si>
    <t>Soporte y mantenimiento VMWARE</t>
  </si>
  <si>
    <t>Soporte y mantenimiento MicroStation</t>
  </si>
  <si>
    <t xml:space="preserve">AERONAUTICA CIVIL
Cronogramas de Inversión
Dependencia: Dirección de Telecomunicaciones y Ayudas a la Navegación Aérea </t>
  </si>
  <si>
    <t>OBSERVACIONES A MARZO 31 DE 2015</t>
  </si>
  <si>
    <r>
      <rPr>
        <b/>
        <sz val="12"/>
        <rFont val="Arial"/>
        <family val="2"/>
      </rPr>
      <t>213608001</t>
    </r>
    <r>
      <rPr>
        <b/>
        <sz val="10"/>
        <rFont val="Arial"/>
        <family val="2"/>
      </rPr>
      <t xml:space="preserve">
ADQUISICION DE EQUIPOS Y SISTEMAS DE ENERGIA SOLAR Y COMERCIAL A NIVEL NACIONAL.</t>
    </r>
  </si>
  <si>
    <t xml:space="preserve">Ibague, Rozo, Cerro Kennedy, Tubara, Jurisdicciones, Cerro la Virgen, Cerro Tasajero, Cerro Mejue, Tablon de Tamara, Manizales. SISTEMAS ININTERRUMPIDOS DE POTENCIA (UPS): a nivel nacional. SUBESTACIONES ELÉCTRICAS: a nivel nacional. SUBESTACIONES ELÉCTRICAS: San Andrés.
</t>
  </si>
  <si>
    <t>ADQUISICION, INSTALACION, CALIBRACION, PRUEBA  Y PUESTA EN FUNCIONAMIENTO SISTEMAS UPS, CARGADORES DE BATERIA, RECTIFICADORES Y/O REACONDICIONAMIENTO.</t>
  </si>
  <si>
    <t>ADQUISICION, INSTALACION, CALIBRACION, PRUEBA  Y PUESTA EN FUNCIONAMIENTO GRUPOS ELECTROGENOS</t>
  </si>
  <si>
    <t>NEIVA</t>
  </si>
  <si>
    <t>ADQUISICION GRUPOS ELECTROGENOS</t>
  </si>
  <si>
    <t>SE CUMPLIO PERO SE AJUSTARON ALGUNOS SITIOS QUEDO ASI:
AEROPUERTO NEIVA,ESTACION CERROS DE AGUAZUQUE,ESTACION TUBARA,ESTACION CERRO KENEDY, ESTACION ROZO,ESTACION CERRO JURISDICCIONES,ESTACION CERRO JURISDICCIONES,ESTACION CERRO MEJUE,ESTACION CERRO MEJUE,ESTACION CERRO TASAJERO,ESTACION LA VIRGEN</t>
  </si>
  <si>
    <t>PICALEÑA-ibague</t>
  </si>
  <si>
    <t>ROZO</t>
  </si>
  <si>
    <t>TUBARA</t>
  </si>
  <si>
    <t>JURISDICCIONES</t>
  </si>
  <si>
    <t>CERRO LA VIRGEN</t>
  </si>
  <si>
    <t>CERRO TASAJEROS-CUCUTA</t>
  </si>
  <si>
    <t>CERRO MEJUE-CUCUTA</t>
  </si>
  <si>
    <t>TABLON DE TAMARA</t>
  </si>
  <si>
    <t>MANIZALES</t>
  </si>
  <si>
    <t>ADQUISICION, INSTALACION, CALIBRACION, PRUEBA Y PUESTA EN FUNCIONAMIENTO DE EQUIPOS Y SUBESTACIONES ELECTRICAS Y COMPLEMENTARIOS.</t>
  </si>
  <si>
    <t>ESTOS PROYECTOS NO SE CUMPLIERON, LOS RECURSOS SE TRASLADARON A LA ACTIVIDAD 1- PARA REALIZAR EL PROYECTO DE ADQUISICION, INSTALACION Y PUESTA EN SERVICIO DE SISTEMAS ININTRERRUMPIDOS DE POTENCIA (UPS) A NIVEL NACIONAL 
PARA REALIZARLA ADQUISICIÓN DE  SUBESTACIONES, SAN ANDRES, VILLAGARZON Y BARRANQUILLA SE ESTA TRAMITANDO TRASLADO POR $3.500.000.000 DEL RUBRO 213608011, EL PROYECTO YA ESTA ADELANTADO</t>
  </si>
  <si>
    <t>AEROPUERTO DE SAN ANDRES</t>
  </si>
  <si>
    <t xml:space="preserve">SUBESTACION </t>
  </si>
  <si>
    <t>ADQUISICION, INSTALACION, ELECTRIFICACION CON RED COMERCIAL NUEVAS ESTACIONES, CONSTRUCCION DE REDES AEREAS- SUBTERRANEAS Y ACTIVIDADES COMPLEMENTARIAS.</t>
  </si>
  <si>
    <t>IMPREVISTOS</t>
  </si>
  <si>
    <r>
      <rPr>
        <b/>
        <sz val="12"/>
        <rFont val="Arial"/>
        <family val="2"/>
      </rPr>
      <t>213608004</t>
    </r>
    <r>
      <rPr>
        <b/>
        <sz val="10"/>
        <rFont val="Arial"/>
        <family val="2"/>
      </rPr>
      <t xml:space="preserve">
ADQUISICION SERVICIO RED INTEGRADA DE MICROONDAS, CANALES TELEFONICOS Y TELEGRAFICOS NIVEL NACIONAL.</t>
    </r>
  </si>
  <si>
    <t xml:space="preserve">NACIONAL </t>
  </si>
  <si>
    <t>DE ACUERDO AL VENCIMIENTO DE CADA CONTRATO</t>
  </si>
  <si>
    <r>
      <rPr>
        <b/>
        <sz val="11"/>
        <rFont val="Calibri"/>
        <family val="2"/>
      </rPr>
      <t xml:space="preserve">00001- </t>
    </r>
    <r>
      <rPr>
        <sz val="11"/>
        <rFont val="Calibri"/>
        <family val="2"/>
      </rPr>
      <t>PRESTACION DEL SERVICIO DE COMUNICACIONES POR MICROONDAS, FIBRA OPTICA O SATELITES A NIVEL NACIONAL E INTERNACIONAL.</t>
    </r>
  </si>
  <si>
    <r>
      <t xml:space="preserve">DEL PRESUPUESTO ASIGNADO SE REALIZO EL PROYECTO POR $4.219.314.330, 
</t>
    </r>
    <r>
      <rPr>
        <b/>
        <sz val="9"/>
        <color indexed="8"/>
        <rFont val="Calibri"/>
        <family val="2"/>
      </rPr>
      <t>SE  TRASLADARON</t>
    </r>
    <r>
      <rPr>
        <sz val="9"/>
        <color indexed="8"/>
        <rFont val="Calibri"/>
        <family val="2"/>
      </rPr>
      <t xml:space="preserve">
- $362.625.670  PARA  ADICIONAR PROYECTO SEGMENTO SATELITAL ACTV 2
-$42.300.000 GESTION PROYECTOS OACI PARA LA REGION CARIBE Y SURAMERICA (CAR/SAM)
-$465.000.000 ARRENDAMIENTO DE ESPACIO PARA ALOJAMIENTO DE EQUIPOS Y SUMINISTRO DE ENERGIA.
</t>
    </r>
  </si>
  <si>
    <t>UTILIZACION SEGMENTO ESPACIAL PARA EL ESTABLECIMIENTO DE UNA RED MEDIANTE ESTACIONES TERRENAS DE LA UAEAC.</t>
  </si>
  <si>
    <t>ADQUIRIR EL SERVICIO DE ASISTENCIA DURANTE EL PROCESO DE ADQUISICION, INSTALACION Y PUESTA EN FUNCIONAMIENTO Y GESTION DE UNA RED (DIG) DIGITAL EN SURAMERICA</t>
  </si>
  <si>
    <t>PAGO MINISTERIO DE COMUNICACIONES</t>
  </si>
  <si>
    <r>
      <rPr>
        <b/>
        <sz val="12"/>
        <rFont val="Arial"/>
        <family val="2"/>
      </rPr>
      <t>213608005</t>
    </r>
    <r>
      <rPr>
        <sz val="10"/>
        <rFont val="Arial"/>
        <family val="2"/>
      </rPr>
      <t xml:space="preserve">
</t>
    </r>
    <r>
      <rPr>
        <b/>
        <sz val="10"/>
        <rFont val="Arial"/>
        <family val="2"/>
      </rPr>
      <t>ADQUISICION DE EQUIPOS Y SISTEMAS PARA LA RED METEOROLOGICA AERONAUTICA.</t>
    </r>
  </si>
  <si>
    <t>ADQUISICION, INSTALACION Y PUESTA EN FUNCIONAMIENTO DE :
EMAS, CEILOMETROS,  EQUIPOS DIRECCION Y VELOCIDAD DE VIENTO, EQUIPOS ALCANCE VISUAL PISTA (RVR), PERFILADORES DE VIENTO, RADIOMETROS, ALTIMETROS DIGITALES EN TORRE, RADARES METEOROLOGICOS, EQUIPOS WIFS/GVAR</t>
  </si>
  <si>
    <t>ADQUISICION, INSTALACION Y PUESTA EN FUNCIONAMIENTO DETECTOR DE CIZALLADURA DE VIENTO, INCLUYE OBRAS CIVILES.</t>
  </si>
  <si>
    <t>LOS RECURSOS SE TRASLADAN AL PROYECTO ADQUISICIÓN DE EQUIPOS, SOFTWARE PARA LA IMPLEMENTACIÓN DE LA INTEGRACIÓN DE LA INFORMACIÓN METEOROLÓGICA  POR AEROPUERTO</t>
  </si>
  <si>
    <t>ADQUISICIÓN DE EQUIPOS, SOFTWARE PARA LA IMPLEMENTACIÓN DE LA INTEGRACIÓN DE LA INFORMACIÓN METEOROLÓGICA  POR AEROPUERTO</t>
  </si>
  <si>
    <t xml:space="preserve">EL PROCESO ESTA PUBLICADO, SE REVALUARON LOS SITIOS  QUEDANDO ASÍ:
SAN ANDRES, BMANGA, RIONEGRO, CUCUTA.
 IPIALES, V/CIO, MANIZALES, MONTERIA, TUMACO, NEIVA Y QUIBDO  </t>
  </si>
  <si>
    <t>CUCUTA (2)</t>
  </si>
  <si>
    <t>MONTERIA</t>
  </si>
  <si>
    <t>QUIBDO</t>
  </si>
  <si>
    <t>FLORENCIA</t>
  </si>
  <si>
    <r>
      <t>ADQUISICIÓN, INSTALACIÓN, INTEGRACIÓN Y PUESTA EN SERVICIO DE SISTEMAS METEOROLOGICOS (ESTACIÓN METEOROLOGICA AUTOMATICA DE SUPERFICIE, SISTEMA DE VIENTOS, EQUIPO MEDIDOR DE ALCANCE VISUAL EN PISTA, EQUIPO MEDIDOR DE ALTURA DE NUBES) PARA LOS AEROPUERTOS DE SAN ANDRES, RIONEGRO, BUCARAMANGA, VILLAVICENCIO Y MANIZALES..</t>
    </r>
    <r>
      <rPr>
        <b/>
        <sz val="9"/>
        <rFont val="Tahoma"/>
        <family val="2"/>
      </rPr>
      <t xml:space="preserve"> </t>
    </r>
    <r>
      <rPr>
        <sz val="9"/>
        <rFont val="Tahoma"/>
        <family val="2"/>
      </rPr>
      <t xml:space="preserve">14000064 OL </t>
    </r>
    <r>
      <rPr>
        <b/>
        <sz val="9"/>
        <rFont val="Tahoma"/>
        <family val="2"/>
      </rPr>
      <t>14000027 OS</t>
    </r>
  </si>
  <si>
    <r>
      <rPr>
        <b/>
        <sz val="12"/>
        <rFont val="Arial"/>
        <family val="2"/>
      </rPr>
      <t>213608005</t>
    </r>
    <r>
      <rPr>
        <b/>
        <sz val="10"/>
        <rFont val="Arial"/>
        <family val="2"/>
      </rPr>
      <t xml:space="preserve">
ADQUISICION DE EQUIPOS PARA REDES DE TELECOMUNICACIONES.</t>
    </r>
  </si>
  <si>
    <t>ADQUISICION DE EQUIPOS PARA COMUNICACIONES DE TORRES Y CENTROS DE CONTROL.</t>
  </si>
  <si>
    <t>ADQUISICION DE EQUIPOS PARA COMUNICACIONES DE VOZ Y DATOS A NIVEL NACIONAL. 14000062 OL NUEVA SOL 14000024 OS VF- NIVEL CENTRAL</t>
  </si>
  <si>
    <t>ADJUDICADO A CONSORCIO VCSC11</t>
  </si>
  <si>
    <t>ADQUISICION, INSTALACION Y PUESTA EN SERVICIO DE LOS SISTEMAS DE GRABACION MULTICANAL PARA ATC</t>
  </si>
  <si>
    <t>ADQUISICION, INSTALACION, CALIBRACIÓN, PRUEBAS Y PUESTA EN FUNCIONAMIENTO DE LOS EQUIPOS Y ANTENAS PARA LA RENOVACION DE LA RED DE COMUNICACIONES SATELITAL.</t>
  </si>
  <si>
    <t>ADQUISICION, INSTALACION,
CALIBRACIÓN, PRUEBAS Y PUESTA EN
SERVICIO DE  EQUIPOS,PARA RENOVAR LA RED DE COMUNICACIONES SATELITAL. 14000063 OL  NUEVA SOL 14000025 OS VF-NIVEL CENTRAL</t>
  </si>
  <si>
    <t>ADQUISICION, INSTALACION, CALIBRACIÓN, PRUEBAS Y PUESTA EN SERVICIO DE EQUIPOS PARA AMPLIAR LOS SISTEMAS VHF ER (ALCANCE EXTENDIDO) PARA CONTROL TERMINAL AEREA.</t>
  </si>
  <si>
    <t>ADJUDICADO A UNION TEMPORAL UT RSCO-RSM-VHF</t>
  </si>
  <si>
    <t>ADQUISICION, INSTALACION Y PUESTA EN SERVICIO, CALIBRACION Y PRUEBA DE EQUIPOS PARA LA RED DE COMUNICACIONES MOVILES.</t>
  </si>
  <si>
    <t>SE ASIGNARON $50.000.000  A LA REGIONAL ANTIOQUIA PARA ADQUISICION DE ACCESORIOS PARA REDES DE COMUNICACIONES WAN Y LAN.
$2.000.000.000 SE VAN A COMPROMETER  PARA COMPRAR EQUIPOS DE RADIOS A LA SECRETARIA DE SEGURIDAD AÉREA.
$1.077.000 SE ESTA TRAMITANDO EL TRASLADO PARA EL RUBRO 213608016-R PARA REALIZAR LA MIGRACION DE LOS EQUIPOS DE COMUNICACIONES AL CGAC.</t>
  </si>
  <si>
    <r>
      <rPr>
        <b/>
        <sz val="12"/>
        <rFont val="Arial"/>
        <family val="2"/>
      </rPr>
      <t>213608007</t>
    </r>
    <r>
      <rPr>
        <b/>
        <sz val="10"/>
        <rFont val="Arial"/>
        <family val="2"/>
      </rPr>
      <t xml:space="preserve">
MANTENIMIENTO Y CONSERVACION DE EQUIPOS Y SISTEMAS AEROPORTUARIOS A NIVEL NACIONAL.</t>
    </r>
  </si>
  <si>
    <t>SE ASIGNARÁ A LAS DIRECCIONES REGIONALES AERONAUTICAS</t>
  </si>
  <si>
    <t>LO ESTABLECEN LAS DIRECCIONES REGIONALES AERONAUTICAS</t>
  </si>
  <si>
    <r>
      <rPr>
        <b/>
        <sz val="11"/>
        <rFont val="Calibri"/>
        <family val="2"/>
      </rPr>
      <t xml:space="preserve">00001- </t>
    </r>
    <r>
      <rPr>
        <sz val="11"/>
        <rFont val="Calibri"/>
        <family val="2"/>
      </rPr>
      <t>MANTENIMIENTO PREVENTIVO Y CORRECTIVO DE ASCENSORES PARA MINUSVALIDOS</t>
    </r>
  </si>
  <si>
    <t>REGIONALIZADO</t>
  </si>
  <si>
    <t>MANTENIMIENTO PREVENTIVO Y CORRECTIVO DE ASCENSORES TORRES DE CONTROL Y MINUSVALIDO.</t>
  </si>
  <si>
    <r>
      <rPr>
        <b/>
        <sz val="11"/>
        <rFont val="Calibri"/>
        <family val="2"/>
      </rPr>
      <t xml:space="preserve">0003- </t>
    </r>
    <r>
      <rPr>
        <sz val="11"/>
        <rFont val="Calibri"/>
        <family val="2"/>
      </rPr>
      <t>MANTENIMIENTO PREVENTIVO Y CORRECTIVO DE EQUIPOS PARA LOS SISTEMAS AEROPORTUARIOS.</t>
    </r>
  </si>
  <si>
    <t>(400) ASIGNADO REGIONAL ATLANTICO</t>
  </si>
  <si>
    <t>REPUESTOS PARA EL MANTENIMIENTO MECANICO (MONTA-CARGAS, BANDAS DE EQUIPAJES, MONOPLANARES, MESA DE AFORO, BOMBAS SUMERGIBLES, BOMBAS DE GASOLINA, ETC.)</t>
  </si>
  <si>
    <t>ASIGNADO NORTE DE SANTANDER</t>
  </si>
  <si>
    <t>MANTENIMIENTO EQUIPOS HIDRONEUMATICOS</t>
  </si>
  <si>
    <t>(500) ASIGNADO REGIONAL VALLE</t>
  </si>
  <si>
    <r>
      <rPr>
        <b/>
        <sz val="12"/>
        <rFont val="Arial"/>
        <family val="2"/>
      </rPr>
      <t>213608009</t>
    </r>
    <r>
      <rPr>
        <b/>
        <sz val="10"/>
        <rFont val="Arial"/>
        <family val="2"/>
      </rPr>
      <t xml:space="preserve">
AMPLIACION RED DE RADARES A NIVEL NACIONAL</t>
    </r>
  </si>
  <si>
    <t>ADQUISICIÓN, INSTALACIÓN Y PUESTA EN FUNCIONAMIENTO DEL SISTEMA DE VIGILANCIA AERONÁUTICA CABEZA RADAR CARIMAGUA - LETICIA</t>
  </si>
  <si>
    <r>
      <rPr>
        <b/>
        <sz val="11"/>
        <rFont val="Calibri"/>
        <family val="2"/>
      </rPr>
      <t xml:space="preserve">00001- </t>
    </r>
    <r>
      <rPr>
        <sz val="11"/>
        <rFont val="Calibri"/>
        <family val="2"/>
      </rPr>
      <t>ADQUISICION, INSTALACION Y PUESTA EN SERVICIO SALAS RADAR (INCLUYE OBRAS CIVILES).</t>
    </r>
  </si>
  <si>
    <t>(79811) CARIMAGUA</t>
  </si>
  <si>
    <t>EL PROYECTO SE ESTA ADELANTANDO, PREVISTO PARA ADJUDICAR EN JUNIO 2015</t>
  </si>
  <si>
    <t>(224) LETICIA</t>
  </si>
  <si>
    <t>SE ESTA ADELANTANDO TRAMITE DE TRASLADO DE $5.000.000.000 PARA EL RUBRO 213608016-3 CON EL FIN DE GESTIONAR:
LA ADQUISICIÓN DEL BANCO DE NOTAM
Y  CONTRATAR EL MANTENIMIENTO DE LOS SISTEMAS DE COMUNICACIONES AMHS.
CON LOS $5.500.000.000 RESTANTES SE ADELANTA EL PROYECTO DE ADQUISICIÓN, INSTALACIÓN Y PUESTA EN SERVICIO SISTEMAS DE MULTILATERACIÓN, EL CYUAL ESTA PREVISTO PARA SER ADJUDICADO EN AGOSTO DE 2015.</t>
  </si>
  <si>
    <r>
      <rPr>
        <b/>
        <sz val="12"/>
        <rFont val="Arial"/>
        <family val="2"/>
      </rPr>
      <t>213608010</t>
    </r>
    <r>
      <rPr>
        <b/>
        <sz val="10"/>
        <rFont val="Arial"/>
        <family val="2"/>
      </rPr>
      <t xml:space="preserve">
MANTENIMIENTO Y CONSERVACION DEL SISTEMA DE TELECOMUNICACIONES Y AYUDAS A LA NAVEGACION AEREA A NIVEL NACIONAL</t>
    </r>
  </si>
  <si>
    <t>EN ALGUNOS CASOS</t>
  </si>
  <si>
    <t>00001- MANTENIMIENTO, CONSERVACION Y ACTUALIZACION DE LOS SISTEMAS DE RADAR.</t>
  </si>
  <si>
    <t xml:space="preserve">SE ESTA ADELANTANDO EL ROCESO PARA MANTENIMIENTO SISTEMAS DE RADAR  V/CIO  CONSISTENTE  EN DESMONTE, DIAGNOSTICO Y EVALUACION SISTEMA ACCIONAMIENTO MECANICO RADAR PRIMARIO Y SECUNDARIO, EL CUAL TIENE UN COSTO DE -
$220.062.176 Y ESTA PREVISTO PARA ADJUDICAR EN MAYO DE 2015.
SE REALIZARON LOS SIGUIENTES TRASLADOS: 
1.$600 MILL PARA LA ACTIVIDAD COMUNICACIONES.
2-$20.000.000 A LA REGIONAL ANTIOQUIA PARA LA ADQUISICION DE ELEMENTOS DE CONSUMO PARA IMPRESIÓN EN SISTEMAS FDP Y TERMINALES I.A.T,
3- $65.000.000 PARA LA ACTIVIDAD 11-DESMONTE, TRASLADO, INSTALACIÓN, PRUEBA Y PUESTA EN FUNCIONAMIENTO PARA EQUIPOS DE COMUNICACIONES, VIGILANCIA AERONÁUTICA, RADIOAYUDAS, METEOROLOGÍA Y AYUDAS VISUALES/ ENERGÍA. 
- EL SALDO $482.937.824 SE TIENE PREVISTO PARA ADQUISICION DE REPUESTOS.
</t>
  </si>
  <si>
    <t>MANTENIMIENTO, CONSERVACION Y ACTUALIZACION DE LOS SISTEMAS DE COMUNICACIONES.</t>
  </si>
  <si>
    <t>AEROPUERTO PEREIRA-SISTEMA DE COMUNICACINES VHF Y AREA TERMINAL DE LA TORRE</t>
  </si>
  <si>
    <t>ESTOS RECURSOS SE TRASLADARON PARA LA ACTIVIDAD DE MANTENIMIENTO SISTEMAS DE COMUNICACIONES</t>
  </si>
  <si>
    <t>MANTENIMIENTO, CONSERVACION Y ACTUALIZACION DE LOS SISTEMAS DE RADIOAYUDAS.</t>
  </si>
  <si>
    <t>SE TIENE PREVISTO ATENDER REQUERIMIENTO DE MANTENIMIENTO SOLICITADOS POR LAS DIR. REGIONALES.</t>
  </si>
  <si>
    <t>MANTENIMIENTO SISTEMAS ELECTRICOS SAN ANDRES Y NIVEL NACIONAL</t>
  </si>
  <si>
    <t>ADJUDICADO A SOLOFRENOS PRECISION, PLAZO HASTA DIC 31/2015. 15000298 OC</t>
  </si>
  <si>
    <t>ADJUDICADO A TERPEL  POR ACUERDO MARCO DE PRECIOS, HASTA DIC 31/2015. 15000321 OC</t>
  </si>
  <si>
    <t>CARIMAGUA</t>
  </si>
  <si>
    <t xml:space="preserve">SE ADELANTO EN UN SOLO PROCESO,PARA ARARACUARA Y CARIMAGUA, POR VALOR DE $882.087.926, ESTA PUBLICADO PREVISTO ADJUDICAR EN ABRIL 24 DE 2015.
SANTANA NO SE REALIZÓ PORQUE LOS EQUIPOS NO HAN SIDO ENTREGADOS POR PARTE DE LA ASEGURADORA 
SE ENCUETRAN EN TRAMITE LOS SIGUIENTES TRASLADOS:
$120.000.000 A LA REGIONAL META
$64.000.000 A LA REGIONAL CUNDINAMARCA
$15.000.000 A LA REGIONAL NORTE DE SANTANDER.
EL SALDO $89 SE TIENE PREVISTO TRASLADARLO A A LA ACTIVIDAD DE MANTENIMIENTO DE VEHICULOS PARA ADELANTAR PROCESO DE MANTENIMIENTO DE VEHICULOS DE NEIVA, FLORENCIA, IBAGUE, IPIALES, PASTO, VILLAVICENCIO, YOPAL, MONTERIA, CUCUTA,  Y SANTA MARTHA </t>
  </si>
  <si>
    <t>ARARACUARA</t>
  </si>
  <si>
    <t>SANTANA</t>
  </si>
  <si>
    <t>RADAR METEOROLOGICO PASTO</t>
  </si>
  <si>
    <r>
      <rPr>
        <b/>
        <sz val="12"/>
        <rFont val="Arial"/>
        <family val="2"/>
      </rPr>
      <t>213608011</t>
    </r>
    <r>
      <rPr>
        <b/>
        <sz val="10"/>
        <rFont val="Arial"/>
        <family val="2"/>
      </rPr>
      <t xml:space="preserve">
ADQUISICION DE EQUIPOS DEL PLAN NACIONAL DE AERONAVEGACION A NIVEL NACIONAL.</t>
    </r>
  </si>
  <si>
    <t>ADQUISICION, INSTALACION Y PUESTA EN SERVICIO DE UN SISTEMA ILS.</t>
  </si>
  <si>
    <t>ILS ARMENIA</t>
  </si>
  <si>
    <t>LOS RECURSOS SE INCLUYERON EN UN SOLO PROCESO POR ITEM, CON DVOR DME , PUBLICADO PREVISTO PARA ADJUICAR EL 11 DE JUNIO 2015.</t>
  </si>
  <si>
    <t>CUCUTA P 200</t>
  </si>
  <si>
    <t>ADJUDICADO A RAPIDEXXUS S.A 14000171 OK</t>
  </si>
  <si>
    <t>ADQUISICION, INSTALACION Y PUESTA EN SERVICIO DE UN DVOR/DME.</t>
  </si>
  <si>
    <t>ADQUISICIÓN, INSTALACIÓN Y PUESTA EN FUNCIONAMIENTO DE:
ITEM NO 1: UN (1) SISTEMA DVOR/DME APTO PEREIRA.
ITEM NO 2: UN (1) SISTEMA DVOR/DME APTO BUENAVENTURA.
ITEM NO 3: UN (1) SISTEMA DVOR/DME APTO IBAGUÉ Y UN SISTEMA DME APTO NEIVA. ITEM NO 4: UN (1) SISTEMA
DVOR/DME BMANGA( PIEDECUESTA.)
ITEM NO 5: UN (1) SISTEMA ILS APTO ARMENIA. PROCESO PUBLICADO POR VALOR INCLUIDO ILS ARMENIA  $14.523.587.045, PREVISTO PARA ADJUDICAR 11 DE JUNIO, QUEDA SALDO DE POR MENOR VALOR EN PROCESO, 
$711.809.955</t>
  </si>
  <si>
    <t>DVOR DME PIEDECUESTA</t>
  </si>
  <si>
    <t>DME NEIVA</t>
  </si>
  <si>
    <t>DVOR DME PEREIRA</t>
  </si>
  <si>
    <t>DVOR DME B.TURA</t>
  </si>
  <si>
    <t>DVOR DME IBAGUE</t>
  </si>
  <si>
    <r>
      <t xml:space="preserve">00003- </t>
    </r>
    <r>
      <rPr>
        <sz val="11"/>
        <rFont val="Calibri"/>
        <family val="2"/>
      </rPr>
      <t>ACTUALIZACION DE LOS SISTEMAS DE RADIOAYUDAS INSTALADOS A NIVEL NACIONAL (ILS,CVOR,DVOR, DME,NDB)</t>
    </r>
  </si>
  <si>
    <t>BOGOTA-NIVEL CENTRAL</t>
  </si>
  <si>
    <t>ADQUISICION EQUIPOS PARA CALIBRACION EN TIERRADE SISTEMAS DE RADIOAYUDAS VOR-DME E ILS.</t>
  </si>
  <si>
    <t xml:space="preserve">EN TRAMITE TRASLADO DE RECURSOS POR $3.500.000.000 PARA EL RUBRO 001 ENERGIA SOLAR PARA ELECTRIFICACION SAN ANDRES, BQUILLA Y VILLA GARZON,SALDO DE  $400.000.000  </t>
  </si>
  <si>
    <t>RIONEGRO</t>
  </si>
  <si>
    <t>VILLAVICENCIO</t>
  </si>
  <si>
    <r>
      <rPr>
        <b/>
        <sz val="12"/>
        <rFont val="Arial"/>
        <family val="2"/>
      </rPr>
      <t>213608012</t>
    </r>
    <r>
      <rPr>
        <b/>
        <sz val="10"/>
        <rFont val="Arial"/>
        <family val="2"/>
      </rPr>
      <t xml:space="preserve">
ADQUISICION EQUIPOS Y REPUESTOS PARA SISTEMAS AEROPORTUARIOS NIVEL NACIONAL.</t>
    </r>
  </si>
  <si>
    <t>SISTEMAS DE LUCES DE APROXIMACION: Cúcuta, Rionegro, Bucaramanga, Pasto. PAPI:Arauca, Pasto, Rionegro. ILUMINACION PISTA: Ibagué, San Andrés. SISTEMAS DE MONITOREO Y CONTROL: Ibague</t>
  </si>
  <si>
    <t>ADQUISICIÓN, INSTALACIÓN Y PUESTA EN FUNCIONAMIENTO DE:
1. SISTEMAS DE LUCES DE APROXIMACION
2. SISTEMAS DE MONITOREO Y CONTROL</t>
  </si>
  <si>
    <t>ADQUISICION E INSTALACION DE SISTEMAS DE SEÑALIZACION Y GUIA DE USUARIO</t>
  </si>
  <si>
    <t>IBAGUE</t>
  </si>
  <si>
    <t>EN ESTRUCTURACION PROYECTO</t>
  </si>
  <si>
    <t>ADQUISICION, INSTALACION, CALIBRACION, PRUEBA  Y PUESTA EN SERVICIO DE SISTEMAS DE ILUMINACION.</t>
  </si>
  <si>
    <t>ALS CAT II RIONEGRO</t>
  </si>
  <si>
    <t xml:space="preserve">SE ADELANTAN PROYECTOS PARA ADQUIRIR ALS  RIONEGRO, POR VALOR DE $2.070.000.000 Y
ALS PASTO Y SISTEMA DE PLATAFORMA IBAGUE POR VALOR $2.150.000.000
</t>
  </si>
  <si>
    <t>ALS CAT I CUCUTA</t>
  </si>
  <si>
    <t>APROXIMACION B.MANGA</t>
  </si>
  <si>
    <t>ADQUISICION, INSTALACION , CALIBRACION, PRUEBA Y PUESTA EN SERVICIO DE EQUIPOS PARA LOS SISTEMAS AEROPORTUARIOS.</t>
  </si>
  <si>
    <t>ADQ AIRES ACONDICIONADOS PARA AETO CALI</t>
  </si>
  <si>
    <t xml:space="preserve">ACTUALMENTE SE ADELANTA PROYECTO PARA ADQUISICIÓN E INSTALACION DE SISTEMAS DE AIRE ACONDICIONADO PARA CENTRO DE CONTROL RADAR DE CALI Y SALA TECNICA EQUIPOS  CARTAGENA. EN ESTUDIO DEL SECTOR
SE ESTA TRAMITANDO TRASLADO DE RECURSOS DEL RUBRO SECRETARIA GRAL 213608013 MANTTO EQUIPO AEREO POR $1.817 MLL, PARA ADQUISICION AIRES ACONDICIONADOS A NIVEL NACIONAL </t>
  </si>
  <si>
    <t>CERROMACO</t>
  </si>
  <si>
    <t>ADQUISICION, INSTALACION  DE REPUESTOS PARA LOS SISTEMAS AEROPORTUARIOS</t>
  </si>
  <si>
    <t xml:space="preserve"> TRASLADAR RECURSOS PARA ADELANTAR PROYECTO ADQUISICION EQUIPOS Y SISTEMAS AEROPORTUARIOS-COMPRA ASCENSORES NIVEL NACIONAL</t>
  </si>
  <si>
    <t xml:space="preserve"> ADQUISICION, INSTALACION , CALIBRACION, PRUEBA Y PUESTA EN SERVICIO DE LUCES PAPI</t>
  </si>
  <si>
    <t>PENDIENTE DEFINIR DESTINO DEL SALDO</t>
  </si>
  <si>
    <t>SE REALIZÓ UN SOLO PROCESO, SE ADJUDICO A AVIATEK POR $265.595.526 QUEDA SALDO DE $13.342.000</t>
  </si>
  <si>
    <t>RIONEGRO FASE II</t>
  </si>
  <si>
    <r>
      <rPr>
        <b/>
        <sz val="12"/>
        <rFont val="Arial"/>
        <family val="2"/>
      </rPr>
      <t>213608015</t>
    </r>
    <r>
      <rPr>
        <b/>
        <sz val="10"/>
        <rFont val="Arial"/>
        <family val="2"/>
      </rPr>
      <t xml:space="preserve">
REPOSICION Y MANTENIMIENTO PARQUE AUTOMOTOR PARA LA OPERACION DE LA INFRAESTRUCTURA AERONAUTICA Y AEROPORTUARIA.</t>
    </r>
  </si>
  <si>
    <t>REPOSICION PARQUE AUTOMOTOR N NACIONAL</t>
  </si>
  <si>
    <t xml:space="preserve">EL PROCESO SE MANEJA A NIVEL CENTRAL Y LOS VEHICULOS QUE SE ADQUIERAN SE  DSITRIBUIRAN A NIVEL NACIONAL.
 PENDIENTE POR ADJUDICAR EN ACUERDO MARCO DE PRECIOS DE COLOMBIA COMPRA EFICIENTE. </t>
  </si>
  <si>
    <t xml:space="preserve">VEHICULO BOGOTA </t>
  </si>
  <si>
    <t>VEHICULO BOGOTA CAT II</t>
  </si>
  <si>
    <r>
      <rPr>
        <b/>
        <sz val="12"/>
        <rFont val="Arial"/>
        <family val="2"/>
      </rPr>
      <t>213608016</t>
    </r>
    <r>
      <rPr>
        <b/>
        <sz val="10"/>
        <rFont val="Arial"/>
        <family val="2"/>
      </rPr>
      <t xml:space="preserve">
ADQUISICION EQUIPOS Y SISTEMAS AERONAUTICOS Y AEROPORTUARIOS AEROPUERTO EL DORADO</t>
    </r>
  </si>
  <si>
    <t>ELDORADO</t>
  </si>
  <si>
    <t>ADQUISICION, INSTALACION Y PUESTA EN SERVICIO DE EQUIPOS CENTRO NACIONAL DE ANALISIS Y PRONOSTICOS METEOROLOGICOS (CNAP)</t>
  </si>
  <si>
    <t>SE ADELANTA PROYECTO PARA ADQUISICIÓN, INSTALACIÓN Y PUESTA EN OPERACIÓN DEL CENTRO NACIONAL DE ANALISIS Y PRONOSTICOS PARA EL AEROPUERTO ELDORADO, POR VALOR DE $6.499.861.534, LOS DEMAS RECURSOS ($2.039.138.466) SE TRASLADARON AL PROYECTO SALA TECNICA DE COMUNICACIONES.</t>
  </si>
  <si>
    <t>ADQUISICION, INSTALACION Y PUESTA EN SERVICIO DE SISTEMAS EQUIPOS DE COMUNICACIONES</t>
  </si>
  <si>
    <r>
      <t xml:space="preserve">ADQUISICION, INSTALACION Y PUESTA EN FUNCIONAMIENTO DE SISTEMAS EQUIPOS DE COMUNICACIONES (SALA TECNICA
ESPECIALIZADA -NOC, AIM, AMHS, </t>
    </r>
    <r>
      <rPr>
        <b/>
        <u/>
        <sz val="9"/>
        <rFont val="Tahoma"/>
        <family val="2"/>
      </rPr>
      <t>PLANTAS TELEFONICAS ATC VOZ SOBRE IP Y ATS</t>
    </r>
    <r>
      <rPr>
        <sz val="9"/>
        <rFont val="Tahoma"/>
        <family val="2"/>
      </rPr>
      <t xml:space="preserve">), PARA EL AEROPUERTO ELDORADO DE
BOGOTA. 14000056 OL. </t>
    </r>
    <r>
      <rPr>
        <b/>
        <sz val="9"/>
        <rFont val="Tahoma"/>
        <family val="2"/>
      </rPr>
      <t>14000039-1 OS</t>
    </r>
  </si>
  <si>
    <t>SALA TÉCNICA ESPECIALIZADA PARA EL CGAC. ADJUDICADA A UNION TEMPORAL SALA TECNICA ESPECIALIZADA -CMG,</t>
  </si>
  <si>
    <r>
      <t>ADQUISICION, INSTALACION Y PUESTA EN FUNCIONAMIENTO DE SISTEMAS EQUIPOS DE COMUNICACIONES (</t>
    </r>
    <r>
      <rPr>
        <b/>
        <u/>
        <sz val="9"/>
        <rFont val="Tahoma"/>
        <family val="2"/>
      </rPr>
      <t>SALA TECNICA
ESPECIALIZADA -NOC</t>
    </r>
    <r>
      <rPr>
        <sz val="9"/>
        <rFont val="Tahoma"/>
        <family val="2"/>
      </rPr>
      <t xml:space="preserve">, AIM, AMHS, PLANTAS TELEFONICAS ATC VOZ SOBRE IP Y ATS), PARA EL AEROPUERTO ELDORADO DE BOGOTA. 14000056 OL. </t>
    </r>
    <r>
      <rPr>
        <b/>
        <sz val="9"/>
        <rFont val="Tahoma"/>
        <family val="2"/>
      </rPr>
      <t>14000039 OS</t>
    </r>
  </si>
  <si>
    <r>
      <t xml:space="preserve">ADQUISICION, INSTALACION, AUTOMATIZACION Y PUESTA EN FUNCIONAMIENTO DE SISTEMAS DE CONTROL Y MONITOREO DE
LA ILUMINACION CATEGORIA 3, PARA EL AEROPUERTO ELDORADO DE BOGOTA. 14000057 OL </t>
    </r>
    <r>
      <rPr>
        <b/>
        <sz val="9"/>
        <rFont val="Tahoma"/>
        <family val="2"/>
      </rPr>
      <t>14000034 OS</t>
    </r>
  </si>
  <si>
    <t xml:space="preserve">ADJUDICADO A CONSORCIO LUDINOR, POR VALOR DE  $3.984.063.745, SALDO $15.936.255 </t>
  </si>
  <si>
    <t>CENTRO SITUACIONAL DE GESTION DE CRISIS PARA LA SEGURIDAD DE LA AVIACION CIVIL</t>
  </si>
  <si>
    <r>
      <t xml:space="preserve">CENTRO SITUACIONAL DE GESTION DE CRISIS PARA LA SEGURIDAD DE LA
AVIACION CIVIL Y SISTEMAS CCTV APTO BOGOTA 14000058 OL </t>
    </r>
    <r>
      <rPr>
        <b/>
        <sz val="9"/>
        <rFont val="Tahoma"/>
        <family val="2"/>
      </rPr>
      <t>14000035 OS</t>
    </r>
  </si>
  <si>
    <t xml:space="preserve">ADJUDICADO A UNION TEMPORAL AERONAUTICA CCT, POR VALOR $5.681.274.900,  SALDO $22.725.100 </t>
  </si>
  <si>
    <t>ADQUISICION, INSTALACION Y PUESTA EN SERVICIO DE SISTEMAS Y EQUIPOS DE VIGILANCIA AERONAUTICA</t>
  </si>
  <si>
    <r>
      <t>ADQUISICION, INSTALACION Y PUESTA EN SERVICIO DE SISTEMAS Y EQUIPOS DE VIGILANCIA AERONAUTICA (</t>
    </r>
    <r>
      <rPr>
        <b/>
        <u/>
        <sz val="9"/>
        <rFont val="Tahoma"/>
        <family val="2"/>
      </rPr>
      <t>SIMULADOR</t>
    </r>
    <r>
      <rPr>
        <sz val="9"/>
        <rFont val="Tahoma"/>
        <family val="2"/>
      </rPr>
      <t xml:space="preserve">
ATC), PARA EL AEROPUERTO ELDORADO DE BOGOTA. 14000059 OL VF</t>
    </r>
    <r>
      <rPr>
        <b/>
        <sz val="9"/>
        <rFont val="Tahoma"/>
        <family val="2"/>
      </rPr>
      <t>. 14000040 OS</t>
    </r>
  </si>
  <si>
    <t>ADJUDCIADO A UNION TEMPORAL SIMULADOR EG, POR VALOR $6.344.462.770,  SALDO POR $55.537.230 EN TRAMITE SOLICITUD LIBERACION DE RECURSOS</t>
  </si>
  <si>
    <t>ADQUISICION, INSTALACION Y PUESTA EN SERVICIO DE SISTEMAS Y EQUIPOS DE METEOROLOGIA AERONAUTICA</t>
  </si>
  <si>
    <r>
      <t>ADQUISICION, INSTALACION Y PUESTA EN SERVICIO DE SISTEMAS Y EQUIPOS DE METEOROLOGIA AERONAUTICA (EQUIPO
PERFILADOR DE VIENTO Y SISTEMAS MESOESCALA), PARA EL AEROPUERTO ELDORADO DE BOGOTA</t>
    </r>
    <r>
      <rPr>
        <b/>
        <sz val="9"/>
        <rFont val="Tahoma"/>
        <family val="2"/>
      </rPr>
      <t>.</t>
    </r>
    <r>
      <rPr>
        <sz val="9"/>
        <rFont val="Tahoma"/>
        <family val="2"/>
      </rPr>
      <t xml:space="preserve">14000055 OL VF </t>
    </r>
    <r>
      <rPr>
        <b/>
        <sz val="9"/>
        <rFont val="Tahoma"/>
        <family val="2"/>
      </rPr>
      <t>14000041 OS</t>
    </r>
  </si>
  <si>
    <t>LOS RECURSOS SE TRASLADARON PARA ACTIVIDAD 2 EQUIPOS DE COMUNICACIONES-PROYECTO SALA TECNICA</t>
  </si>
  <si>
    <t>AERONAUTICA CIVIL
Cronogramas de Inversión
Dependencia: SECRETARIA DE SEGURIDAD AEREA</t>
  </si>
  <si>
    <t>CONVENIO  OACI RLA 99/901 SRVSOP  (USD50.000)</t>
  </si>
  <si>
    <t>ASISTENCIA TÉCNICA, MEDIANTE - CONTRIBUCIÓN DE COSTOS COMPARTIDOS AL PROYECTO REGIONAL RLA/99/901- SISTEMA REGIONAL DE COOPERACIÓN PARA LA VIGILANCIA DE LA SEGURIDAD OPERACIONAL CUOTA AÑO 2015</t>
  </si>
  <si>
    <t>SE ESTA GESTIONANDO ADICION POR DIFERENCIA TASA DE CAMBIO AL MOMENTO DEL GIRO</t>
  </si>
  <si>
    <t>CONTRATAR EL SERVICIO DE UN MEDICO EXAMINADOR PARA REALIZAR EXAMENES CLINICOS Y PARACLINICOS  Y CERTIFICAR LA APTITUD PSICOFISICA DEL PERSONAL TECNICO AERONAUTICO.</t>
  </si>
  <si>
    <t xml:space="preserve">MAYO </t>
  </si>
  <si>
    <t>AVANCE  2,919,000,00</t>
  </si>
  <si>
    <t>REGIONAL SANTANDER</t>
  </si>
  <si>
    <t>NO SE INICIO EL PROCESO DEBIDO A NO CONTABAN CON EL MEDICO EXAMINADOR POR FALTA DE CUMPLIMIENTO  DE PAGO POR PARTE DE LA ENTIDAD EN EL CONTRATO ANTERIOR</t>
  </si>
  <si>
    <t>RENOVACION SUSCRIPCION Y ACTUALIZACION POR UN AÑO DE 15 REGLAMENTOS AERONAUTICOS DE COLOMBIA CON DESTINO A LA SECRETARIA DE SEGURIDAD AEREA Y NIVEL CENTRAL</t>
  </si>
  <si>
    <t>NO SE LLEVARA A CABO, SE ESTA SOLICITANDO TRASLADO DE RECURSOS</t>
  </si>
  <si>
    <t>PUBLICACIONES TECNICAS CON OBJETO DE OBTENER DISEÑO E IMPRESION DE MATERIAL PUBLICITARIO ALUSIVO AL VII SEMINARIO DE SGURIDAD OPERACIONAL Y FACTORES HUMANOS 2015</t>
  </si>
  <si>
    <t>COMPRA DE PLASTICOS DE IDENTIFICACION E INSUMOS PERSONALIZADOS PARA LA ELABORACION DE LICENCIAS TECNICAS AL PERSONAL AERONAUTICO</t>
  </si>
  <si>
    <t>El valor a pagar depende del valor adjudicado  de acuedo a la mejor oferta, que debe ser por debajo del  valor apropiado</t>
  </si>
  <si>
    <t>A 31 DE MARZO EL PROCESO ESTABA RADICADO EN LA DIRECCION ADMINISTRATIVA A LA ESPERO DE SER ASIGNADO PROFESIONAL RESPONSABLE</t>
  </si>
  <si>
    <t xml:space="preserve">ADQUISICION MEDIANTE COMPRA, SUSCRIPCION O ACTUALIZAION. DE TODO TIPO DE INFORMACION DE CARÁCTER TECNICO EN MEDIO FISICO, CD, DVD, TOKEN, MEMORIAS USB, SIMILARES, O  EN MEDIO ELECTRONICO (CODIGOS DE ACCESO, - PASSWORDS - REGISTROS - VONVULOS - LINK), </t>
  </si>
  <si>
    <t>SUMINISTRO DE COMBUSTIBLE Y LUBRICANTES CON DESTINO A LOS VEHICULOS OPERATIVOS DE LA SECRETARIA DE SEGURIDAD AEREA 2015</t>
  </si>
  <si>
    <t>MENSUAL</t>
  </si>
  <si>
    <t>SEGÚN CONSUMO</t>
  </si>
  <si>
    <t>EN EJECUCION, SE FIRMO ORDEN POR 15.000.000</t>
  </si>
  <si>
    <t>MANTENIMIENTO PREVENTIVO Y CORRECTIVO VEHICULOS ASIGNADOS A LA SECRETARIA DE SEGURIDAD AEREA 2015</t>
  </si>
  <si>
    <t>SEGÚN SERVICIOS EFECTUADOS</t>
  </si>
  <si>
    <t>EN ESTUDIOS PREVIOS.- CAMBIOS EN PARQUE AUTOMOTOR DE LA DEPENDENCIA.</t>
  </si>
  <si>
    <t>NORTE DE SANTANDER</t>
  </si>
  <si>
    <t>CONTRATAR EL SERVICIO DE MANTENIMIENTO Y CALIBRACION DE EQUIPOS ( ALCOHOLIMETROS)</t>
  </si>
  <si>
    <t>ADQUISICION DE VEHICULOS PARA CONTROL OPERACIONAL</t>
  </si>
  <si>
    <t>ADQUISICION DE 3 (TRES) VEHICULOS CON DESTINO A LA SECRETARIA DE SEGURIDAD AEREA:  (1) UN VEHICULO ESPECIAL 4X4 ACONDICIONADO  PARA GRUPO DE INVESTIGACION DE ACCIDENTES Y (2) DOS VEHICULOS ADMINISTRATIVOS TIPO AUTOMOVIL PARA DIRECCION DE ESTANDARES DE VUELO Y LA DIRECCIÓN DE MEDICINA AERONAUTICA..</t>
  </si>
  <si>
    <t>El valor a pagar depende del valor adjudicado  de acuerdo a la mejor oferta, que debe ser por debajo del  valor apropiado</t>
  </si>
  <si>
    <t>TRAMITE CREACION ACTIVIDAD AJUSTADA A LA NECESIDAD</t>
  </si>
  <si>
    <r>
      <t xml:space="preserve">APROPIACIÓN (millones) </t>
    </r>
    <r>
      <rPr>
        <b/>
        <sz val="11"/>
        <color indexed="10"/>
        <rFont val="Calibri"/>
        <family val="2"/>
      </rPr>
      <t>DISTRIBUCIÓN INICIAL</t>
    </r>
  </si>
  <si>
    <t>SE ENCUENTRA INCLUIDO EN EL PLAN DE NAVEGACION AEREA PARA COLOMBIA SI/NO</t>
  </si>
  <si>
    <t>seguimiento a marzo 31 de 2015</t>
  </si>
  <si>
    <t xml:space="preserve">MEJORAMIENTO Y MANTENIMIENTO DE INFRAESTRUCTURA PROPIA DEL SECTOR </t>
  </si>
  <si>
    <t xml:space="preserve">MEJORAMIENTO Y RECUPERACION ESTACIONES DE RADIOAYUDAS A NIVEL NACIONAL. </t>
  </si>
  <si>
    <t xml:space="preserve">MEJORAMIENTO VIAS DE ACCESO ESTACIONES AERONAUTICAS. </t>
  </si>
  <si>
    <t>ALGUACIL</t>
  </si>
  <si>
    <t>MANTENIMIENTO GENERAL DE  ESTACIONES AERONAUTICAS</t>
  </si>
  <si>
    <t>EN ESTUDIOS PREVIOS</t>
  </si>
  <si>
    <t xml:space="preserve">MANTENIMIENTO Y CONSERVACION DE LA INFRAESTRUCTURA AEROPORTUARIA. </t>
  </si>
  <si>
    <t>MANTENIMIENTO DE CERRAMIENTO</t>
  </si>
  <si>
    <t>MAGANGUE</t>
  </si>
  <si>
    <t>MOMPOX</t>
  </si>
  <si>
    <t>PUBLICADOS</t>
  </si>
  <si>
    <t>PLATO</t>
  </si>
  <si>
    <t>BANCO</t>
  </si>
  <si>
    <t>TOLU</t>
  </si>
  <si>
    <t>RIOHACHA</t>
  </si>
  <si>
    <t>VALLEDUPAR</t>
  </si>
  <si>
    <t>AGUACHICA</t>
  </si>
  <si>
    <t>COROZAL</t>
  </si>
  <si>
    <t>MEJORAMIENTO ZONAS DE SEGURIDAD Y CANALES</t>
  </si>
  <si>
    <t xml:space="preserve">MANTENIMIENTO DE INFRAESTRUCTURA COMPLEMENTARIA </t>
  </si>
  <si>
    <t>ADECUACION MANTENIMIENTO Y MEJORAMIENTO DE LA INFRAESTRUCTURA AMBIENTAL AEROPORTUARIA</t>
  </si>
  <si>
    <t xml:space="preserve">MANTENIMIENTO DE SISTEMAS DE MANEJO Y DISPOSICION DE RESIDUOS SOLIDOS. </t>
  </si>
  <si>
    <t xml:space="preserve">MANTENIMIENTO DE INSTALACIONES HIDRAULICAS Y SANITARIAS. </t>
  </si>
  <si>
    <t xml:space="preserve">PROGRAMAS DE CONTROL GEOTECNICO. </t>
  </si>
  <si>
    <t xml:space="preserve">MATERIALES E INSUMOS PARA EL FUNCIONAMIENTO DE LA INFRAESTRUCTURA AMBIENTAL </t>
  </si>
  <si>
    <t>EJECUTADO 100% Y PAGADO</t>
  </si>
  <si>
    <t xml:space="preserve">PROGRAMAS DE MEJORAMIENTO PARA LA PREVENCION DEL PELIGRO AVIARIO. </t>
  </si>
  <si>
    <t xml:space="preserve">MEJORAMIENTO Y MANTENIMIENTO DE INFRAESTRUCTURA ADMINISTRATIVA </t>
  </si>
  <si>
    <t xml:space="preserve">MANTENIMIENTO INSTALACIONES ADMINISTRATIVAS </t>
  </si>
  <si>
    <t>ADQUISISCION, PRODUCCION Y MANTENIMIENTO DE LA DOTACION PROPIA DEL  SECTOR</t>
  </si>
  <si>
    <t xml:space="preserve">ADQUISICION DE EQUIPOS Y SISTEMAS DE ENERGIA SOLAR Y COMERCIAL A NIVEL </t>
  </si>
  <si>
    <t xml:space="preserve">ADQUISICION, INSTALACION, CALIBRACION, PRUEBA Y PUESTA EN FUNCIONAMIENTO SISTEMAS UPS, CARGADORES DE BATERIA, RECTIFICADORES Y/O REACONDICIONAMIENTO. </t>
  </si>
  <si>
    <t>ADQUIAICIÓN DE BATERIAS ESTACIONARIAS</t>
  </si>
  <si>
    <t>ADQUISICIÓN DE BATERIAS ESTACIONARIAS</t>
  </si>
  <si>
    <t xml:space="preserve">ADQUISICION DE EQUIPOS DE PROTECCION Y EXTINCION DE INCENDIOS BUSQUEDA Y RESCATE. </t>
  </si>
  <si>
    <t xml:space="preserve">ADQUISICIÓN DE ELEMENTOS PARA LA REALIZACION DE SIMULACROS SEI. </t>
  </si>
  <si>
    <t xml:space="preserve">MANTENIMIENTO Y CONSERVACION DE EQUIPOS Y SISTEMAS AEROPORTUARIOS A NIVEL NACIONAL. </t>
  </si>
  <si>
    <t xml:space="preserve">MANTENIMIENTO PREVENTIVO Y CORRECTIVO DE EQUIPOS PARA LOS SISTEMAS AEROPORTUARIOS. </t>
  </si>
  <si>
    <t xml:space="preserve">SAN ANDRÉS   </t>
  </si>
  <si>
    <t xml:space="preserve">BOMBILLERIA AREAS PUBLICAS AEROPUERTO ASOCIADOS CON LA OPERACION AEREA. </t>
  </si>
  <si>
    <t xml:space="preserve">Adquisicion de bombilleria àreas publicas Aeropuerto de la Regional Atlantico </t>
  </si>
  <si>
    <t xml:space="preserve">ADQUISICION MATERIALES E INSUMOS AEROPORTUARIOS. </t>
  </si>
  <si>
    <t xml:space="preserve">Adquisicion de materiales e insumo aeroportuarios Regional Atlantico </t>
  </si>
  <si>
    <t xml:space="preserve">ADQUISICION DE HERRAMIENTAS, ELEMENTOS Y MATERIALES PARA MANTENIMIENTO DE EQUIPOS Y SISTEMAS MECANICOS. </t>
  </si>
  <si>
    <t>si 80</t>
  </si>
  <si>
    <t xml:space="preserve">MANTENIMIENTO Y CONSERVACION DEL SISTEMA DE TELECOMUNICACIONES Y AYUDAS A LA NAVEGACION AEREA A NIVEL NACIONAL </t>
  </si>
  <si>
    <t xml:space="preserve">MANTENIMIENTO, CONSERVACION Y ACTUALIZACION DE LOS SISTEMAS DE RADAR. </t>
  </si>
  <si>
    <t xml:space="preserve">MANTENIMIENTO, CONSERVACION Y ACTUALIZACION DE LOS SISTEMAS DE RADIOAYUDAS. </t>
  </si>
  <si>
    <t xml:space="preserve">MANTENIMIENTO, CONSERVACION Y ACTUALIZACION DE LOS SISTEMAS DE ENERGIA Y SISTEMAS COMPLEMENTARIOS. </t>
  </si>
  <si>
    <t>MAGANGUÉ</t>
  </si>
  <si>
    <t xml:space="preserve">MANTENIMIENTO DE VEHICULO. </t>
  </si>
  <si>
    <t xml:space="preserve">ADQUISICION DE COMBUSTIBLE. </t>
  </si>
  <si>
    <t>SAN ANDRÉS</t>
  </si>
  <si>
    <t>TUBARÁ</t>
  </si>
  <si>
    <t>CASA EMISORA</t>
  </si>
  <si>
    <t xml:space="preserve">CERRO MACO    </t>
  </si>
  <si>
    <t>POLO NUEVO</t>
  </si>
  <si>
    <t xml:space="preserve">ADQUISICION ELEMENTOS DE CONSUMO PARA IMPRESIÓN EN SISTEMAS F.D.P. Y TERMINALES I.A.T. </t>
  </si>
  <si>
    <t>Adquisicion de rollo de papel termosensible para la impresión de faja de progreso en el centro de control FIR - Barranquilla y Aeropuertos Regional Atlantico</t>
  </si>
  <si>
    <t xml:space="preserve">ADQUISICION E INSTALACION DE REPUESTO PARA EL MANTENIMIENTO DE LOS SISTEMAS DE TELECOMUNICACIONES Y COMPLEMENTARIOS. </t>
  </si>
  <si>
    <t xml:space="preserve">ADQUISICION EQUIPOS Y REPUESTOS PARA SISTEMAS AEROPORTUARIOS NIVEL NACIONAL. </t>
  </si>
  <si>
    <t xml:space="preserve">ADQUISICION, INSTALACION , CALIBRACION, PRUEBA Y PUESTA EN SERVICIO DE EQUIPOS PARA LOS SISTEMAS AEROPORTUARIOS. </t>
  </si>
  <si>
    <t xml:space="preserve">ADQUISICION DE EQUIPOS Y SERVICIOS MEDICOS PARA SANIDADES AEROPORTUARIAS. </t>
  </si>
  <si>
    <t xml:space="preserve">ADQUISICION MEDICAMENTOS Y SUMINISTROS </t>
  </si>
  <si>
    <t>LA ADQUISICIÓN DE MEDICAMENTOS E INSUMOS CON DESTINO A SANIDAD AEROPORTUARIA DEL AEROPUERTO GUSTAVO ROJAS PINILLA DE SAN ANDRES Y PROVIDENCIA POR EL METODO DE PRECIOS UNITARIOS FIJOS BAJO LA MODALIDAD DE OUTSOURCING.</t>
  </si>
  <si>
    <r>
      <rPr>
        <b/>
        <sz val="10"/>
        <rFont val="Calibri"/>
        <family val="2"/>
      </rPr>
      <t>CONTRATO 15000212 OC.</t>
    </r>
    <r>
      <rPr>
        <sz val="10"/>
        <rFont val="Calibri"/>
        <family val="2"/>
      </rPr>
      <t xml:space="preserve"> LA ADQUISICIÓN DE MEDICAMENTOS E INSUMOS CON DESTINO A SANIDAD AEROPORTUARIA DEL AEROPUERTO GUSTAVO ROJAS PINILLA DE SAN ANDRES Y PROVIDENCIA POR EL METODO DE PRECIOS UNITARIOS FIJOS BAJO LA MODALIDAD DE OUTSOURCING.</t>
    </r>
  </si>
  <si>
    <t>LA ADQUISICION DE UTILES, ACCESORIOS Y PAPELERIA EN GENERAL PARA LA OPERACIÓN DE LA SANIDAD DEL AEROPUERTO GUSTAVO ROJAS PINILLA DE SAN ANDRES.</t>
  </si>
  <si>
    <t xml:space="preserve">MANTENIMIENTO EQUIPOS MEDICOS. </t>
  </si>
  <si>
    <t xml:space="preserve">MANTENIMIENTO DE AMBULANCIAS. </t>
  </si>
  <si>
    <t>CONTRATAR EL MANTENIMIENTO PREVENTIVO Y CORRECTIVO DE LAS AMBULANCIAS DEL AEROPUERTO GUSTAVO ROJAS PINILLA DE SAN ANDRES.</t>
  </si>
  <si>
    <t xml:space="preserve">PROTECCION Y BIENESTAR SOCIAL DEL RECURSO HUMANO </t>
  </si>
  <si>
    <t xml:space="preserve">APLICACION DE LOS PROGRAMAS DE SALUD OCUPACIONAL. </t>
  </si>
  <si>
    <t xml:space="preserve">S.O - SALUD OCUPACIONAL- CONTROL Y MINIMIZACION DE RIESGOS (EPP) </t>
  </si>
  <si>
    <t xml:space="preserve">S.O . ADQUISICION DE ELEMENTOS Y EQUIPOS DE PROTECCION PERSONAL. </t>
  </si>
  <si>
    <t xml:space="preserve">S.O - ADQUISICION DE EQUIPOS Y ELEMENTOS ERGONOMICOS. </t>
  </si>
  <si>
    <t xml:space="preserve">S.O - SUBPROGRAMA DE HIGIENE Y SEGURIDAD INDUSTRIAL. </t>
  </si>
  <si>
    <t xml:space="preserve">B.S BIENESTAR SOCIAL - REALIZACION DE EVENTOS DEPORTIVOS Y DOTACION. </t>
  </si>
  <si>
    <t>EN ESTUDIO PREVIO</t>
  </si>
  <si>
    <t>GUSTAVO ROJAS PINILLA</t>
  </si>
  <si>
    <t>ALFONSO LOPEZ</t>
  </si>
  <si>
    <t>ALMIRANTE PADILLA</t>
  </si>
  <si>
    <t>LAS BRUJAS</t>
  </si>
  <si>
    <t>GOLFO DE MORROSQUILLO</t>
  </si>
  <si>
    <t xml:space="preserve">B.S - REALIZACION VACACIONES RECREATIVAS PARA HIJOS DE FUNCIONARIOS. </t>
  </si>
  <si>
    <t>RAFAEL NUÑEZ</t>
  </si>
  <si>
    <t xml:space="preserve">B.S - DOTACION CENTROS VACACIONALES Y DEPORTIVOS. </t>
  </si>
  <si>
    <t xml:space="preserve">ADQUISICION DE ELEMENTOS, MUEBLES, EQUIPOS, ENSERES,  ELEMENTOS DE ASEO PARA DOTAR EL CENTRO VACACIONAL DE SANTA MARTA </t>
  </si>
  <si>
    <t xml:space="preserve">PREPARACION PREPENSIONADOS - GRUPO FAMILIAR, SEMINARIOS, TALLERES, ETC. </t>
  </si>
  <si>
    <t xml:space="preserve">ADQUISICION DE SERVICIOS MEDICOS PARA EL PROGRAMA DE SALUD OCUPACIONAL. </t>
  </si>
  <si>
    <t xml:space="preserve">SERVICIO DE ACONDICIONAMIENTO FISICO DEPORTIVO PARA LOS FUNCIONARIOS EN LAS INSTALACIONES DE LA ENTIDAD. </t>
  </si>
  <si>
    <t xml:space="preserve">LEVANTAMIENTO Y ACTUALIZACIÓN DE INFORMACIÓN PARA PROCESAMIENTO </t>
  </si>
  <si>
    <t xml:space="preserve">ASISTENCIA TECNICA, DIVULGACION Y CAPACITACION A FUNCIONARIOS DEL ESTADO PARA APOYO A LA ADMINISTRACION DEL ESTADO.  </t>
  </si>
  <si>
    <t xml:space="preserve">CAPACITACION PERSONAL TECNICO Y ADMINISTRATIVO. </t>
  </si>
  <si>
    <t xml:space="preserve">PROGRAMAS DE FORMACIÓN, CAPACITACIÓN, ACTUALIZACIÓN Y ENTRENAMIENTO PARA LA SEGURIDAD OPERACIONAL Y PROGRAMAS DIRIGIDOS A FUNCIONARIOS DE LAENTIDAD </t>
  </si>
  <si>
    <t xml:space="preserve">CONTRATACION DOCENTES, ASESORES PROFESIONALES EXPERTOS ACADEMICOS Y AUXILIARES DE LABORATORIO PARA EL DESARROLLO DE PROGRAMAS ACADEMICOS </t>
  </si>
  <si>
    <t xml:space="preserve">CONTROL OPERACIONAL PARA GARANTIZAR LA SEGURIDAD AEREA </t>
  </si>
  <si>
    <t xml:space="preserve">CERTIFICACIÓN AEROMÉDICA ESPECIAL DEL PERSONAL AERONÁUTICO: CONTROLADORES DE TRÁNSITO AÉREO, BOMBEROS AERONÁUTICOS Y OPERADORES DE ESTACIONES </t>
  </si>
  <si>
    <t xml:space="preserve">MANTENIMIENTO DE VEHICULOS PARA LA INSPECCION Y CONTROL OPERACIONAL </t>
  </si>
  <si>
    <t>TOTAL PRESUPUESTO DE INVERSIÓN</t>
  </si>
  <si>
    <t>MARZO DE 2015</t>
  </si>
  <si>
    <t>FEBRERO DE 2015</t>
  </si>
  <si>
    <t>SEP</t>
  </si>
  <si>
    <t>OCT</t>
  </si>
  <si>
    <t>NOV</t>
  </si>
  <si>
    <t>DIC</t>
  </si>
  <si>
    <t>CONSTRUCCION,MEJORAMIENTO DE INFRAESTRUCTURA AEROPORTUARIA AEROPUERTO ELDORADO</t>
  </si>
  <si>
    <t>EL DORADO</t>
  </si>
  <si>
    <t>EN EJECUCION</t>
  </si>
  <si>
    <t>N/A</t>
  </si>
  <si>
    <t>CONTRATAR LA INTERVENTORIA TÉCNICA Y ADMINISTRATIVA PARA LA CONSTRUCCIÓN DE LA TORRE DE CONTROL DEL AEROPUERTO EL DORADO Y DEL CENTRO DE GESTIÓN AERONÁUTICO DE COLOMBIA ¿CGAC-</t>
  </si>
  <si>
    <t>​CONTRATAR LA CONSTRUCCIÓN DE UN SISTEMA COMPLEMENTARIO DE CALLES DE RODAJE EN EL COSTADO OCCIDENTAL DEL AEROPUERTO INTERNACIONAL EL DORADO ¿FASE 1-.}</t>
  </si>
  <si>
    <t xml:space="preserve">CONTRATAR LA INTERVENTORIA TÉCNICA Y ADMINISTRATIVA DE LA CONSTRUCCIÓN DE UN SISTEMA COMPLEMENTARIO DE CALLES DE RODAJE EN EL COSTADO OCCIDENTAL DEL AEROPUERTO INTERNACIONAL EL DORADO ¿FASE 1-. </t>
  </si>
  <si>
    <t xml:space="preserve">CONSTRUCCION DE INFRAESTRUCTURA AEROPORTUARIA A NIVEL NACIONAL </t>
  </si>
  <si>
    <t>CONTRATO DE CONCESION N0. 058-CON-2000 CUYO OBJETO ES CONCESION PARA LA ADMINISTRACION , OPERACIÓN Y EXPLOTACION ECONOMICA DEL AEROPUERTO INTERNACIONAL ALFONSO BONILLA ARAGON DE LA CIUDAD DE PALMIRA</t>
  </si>
  <si>
    <t>COMERCIALIZACION</t>
  </si>
  <si>
    <t>CONTRATO 6000169- OK PARA LA EJECUCIÓN, OPERACIÓN Y MANTENIMIENTO DE LAS OBRAS COMPLEMENTARIAS ASOCIADAS AL CONTRATO DE CONSECIÓN PARA LA ADMINISTRACION, OPERACIÓN, EXPLOTACION, COMERCIAL, MANTENIMIENTO Y MODERNIZACIÓN Y EXPANSION DEL AEROPUERTO INTERNACIONAL EL DORADO DE LA CIUDAD DE BOGOTA D.C.</t>
  </si>
  <si>
    <t>LETICIA</t>
  </si>
  <si>
    <r>
      <t>CONSTRUCCIÓN DEL TERMINAL, TORRE DE CONTROL,  CUARTEL DE BOMBEROS, URBANISMO Y VIAS DE ACCESO DEL AEROPUERTO DE LETICIA</t>
    </r>
    <r>
      <rPr>
        <b/>
        <sz val="8"/>
        <rFont val="Arial"/>
        <family val="2"/>
      </rPr>
      <t xml:space="preserve"> (VIGENCIA FUTURA)</t>
    </r>
  </si>
  <si>
    <t>CONTRATADO</t>
  </si>
  <si>
    <r>
      <t xml:space="preserve">INTERVENTORIA TECNICA Y ADMINISTRATIVA PARA LA CONSTRUCCIÓN DEL TERMINAL, TORRE DE CONTROL,  CUARTEL DE BOMBEROS, URBANISMO Y VIAS DE ACCESO DEL AEROPUERTO DE LETICIA </t>
    </r>
    <r>
      <rPr>
        <b/>
        <sz val="8"/>
        <rFont val="Arial"/>
        <family val="2"/>
      </rPr>
      <t>(VIGENCIA FUTURA)</t>
    </r>
  </si>
  <si>
    <t>YOPAL</t>
  </si>
  <si>
    <r>
      <t xml:space="preserve">CONSTRUCCIÓN DEL TERMINAL, TORRE DE CONTROL,  CUARTEL DE BOMBEROS, URBANISMO Y VIAS DE ACCESO DEL AEROPUERTO EL YOPAL </t>
    </r>
    <r>
      <rPr>
        <b/>
        <sz val="8"/>
        <rFont val="Arial"/>
        <family val="2"/>
      </rPr>
      <t>(VIGENCIA FUTURA)</t>
    </r>
  </si>
  <si>
    <r>
      <t xml:space="preserve">INTERVENTORIA TECNICA Y ADMINISTRATIVA PARA LA CONSTRUCCIÓN DEL TERMINAL, TORRE DE CONTROL,  CUARTEL DE BOMBEROS, URBANISMO Y VIAS DE ACCESO DEL AEROPUERTO EL YOPAL </t>
    </r>
    <r>
      <rPr>
        <b/>
        <sz val="8"/>
        <rFont val="Arial"/>
        <family val="2"/>
      </rPr>
      <t>(VIGENCIA FUTURA)</t>
    </r>
  </si>
  <si>
    <r>
      <t xml:space="preserve">CONSTRUCCIÓN DEL TERMINAL, TORRE DE CONTROL,  CUARTEL DE BOMBEROS, URBANISMO Y VIAS DE ACCESO DEL AEROPUERTO “PERALES” DE IBAGUE </t>
    </r>
    <r>
      <rPr>
        <b/>
        <sz val="8"/>
        <rFont val="Arial"/>
        <family val="2"/>
      </rPr>
      <t>(VIGENCIA FUTURA)</t>
    </r>
  </si>
  <si>
    <r>
      <t xml:space="preserve">INTERVENTORIA TECNICA Y ADMINISTRATIVA PARA LA CONSTRUCCIÓN DEL TERMINAL, TORRE DE CONTROL,  CUARTEL DE BOMBEROS, URBANISMO Y VIAS DE ACCESO DEL AEROPUERTO “PERALES” DE IBAGUE </t>
    </r>
    <r>
      <rPr>
        <b/>
        <sz val="8"/>
        <rFont val="Arial"/>
        <family val="2"/>
      </rPr>
      <t>(VIGENCIA FUTURA)</t>
    </r>
  </si>
  <si>
    <t>BUCARAMANGA</t>
  </si>
  <si>
    <t xml:space="preserve">CONSTRUCCION OBRAS DE SEGURIDAD A. BUCARMANAGA FASE 2 </t>
  </si>
  <si>
    <t>INTERVENTORIA TECNICA Y ADMINISTRATIVA PARA CONSTRUCCION OBRAS DE SEGURIDAD A. BUCARMANAGA FASE 2</t>
  </si>
  <si>
    <r>
      <t xml:space="preserve">CONSTRUCCION OBRAS DE CERTIFICACION DEL AEROPUERTO DE CUCUTA </t>
    </r>
    <r>
      <rPr>
        <b/>
        <sz val="8"/>
        <rFont val="Arial"/>
        <family val="2"/>
      </rPr>
      <t>(VIGENCIA FUTURA)</t>
    </r>
  </si>
  <si>
    <r>
      <t xml:space="preserve">INTERVENTORIA TECNICA Y ADMINISTRATIVA PARA CONSTRUCCION OBRAS DE CERTIFICACION  CUCUTA </t>
    </r>
    <r>
      <rPr>
        <b/>
        <sz val="8"/>
        <rFont val="Arial"/>
        <family val="2"/>
      </rPr>
      <t>(VIGENCIA FUTURA)</t>
    </r>
  </si>
  <si>
    <r>
      <t xml:space="preserve">CONSTRUCCION OBRAS DE  CERTIFICACION AEROPUERTO DE SANTA MARTA </t>
    </r>
    <r>
      <rPr>
        <b/>
        <sz val="8"/>
        <rFont val="Arial"/>
        <family val="2"/>
      </rPr>
      <t>(VIGENCIA FUTURA)</t>
    </r>
  </si>
  <si>
    <r>
      <t xml:space="preserve">INTERVENTORIA TECNICA Y ADMINISTRATIVA PARA  CONSTRUCCION OBRAS DE  CERTIFICACION AEROPUERTO DE SANTA MARTA </t>
    </r>
    <r>
      <rPr>
        <b/>
        <sz val="8"/>
        <rFont val="Arial"/>
        <family val="2"/>
      </rPr>
      <t>(VIGENCIA FUTURA)</t>
    </r>
  </si>
  <si>
    <t>CONSTRUCCION DE LA PISTA DEL AEROPUERTO DE AGUACHICA-CESAR (VIGENCIA FUTURA)</t>
  </si>
  <si>
    <r>
      <t>INTERVENTORIA TECNICA Y ADMINISTRATIVA PARA LA CONSTRUCCION DE LA PISTA DEL AEROPUERTO DE AGUACHICA-CESAR</t>
    </r>
    <r>
      <rPr>
        <b/>
        <sz val="8"/>
        <rFont val="Arial"/>
        <family val="2"/>
      </rPr>
      <t xml:space="preserve"> (VIGENCIA FUTURA)</t>
    </r>
  </si>
  <si>
    <r>
      <t>CONSTRUCCION TERMINAL Y TORRE DE CONTRO DEL AEROPUERTO DE PASTO</t>
    </r>
    <r>
      <rPr>
        <b/>
        <sz val="8"/>
        <rFont val="Arial"/>
        <family val="2"/>
      </rPr>
      <t xml:space="preserve"> (VIGENCIA FUTURA)</t>
    </r>
  </si>
  <si>
    <r>
      <t xml:space="preserve">INTERVENTORIA TECNICA Y ADMINISTRATIVA PARA CONSTRUCCION TERMINAL Y TOORRE DE CONTRO DEL AEROPUERTO DE PASTO </t>
    </r>
    <r>
      <rPr>
        <b/>
        <sz val="8"/>
        <rFont val="Arial"/>
        <family val="2"/>
      </rPr>
      <t>(VIGENCIA FUTURA)</t>
    </r>
  </si>
  <si>
    <t>NUQUI</t>
  </si>
  <si>
    <r>
      <t xml:space="preserve">CONSTRUCCION DEL CERRAMIENTO DEL AEROPUERTO DE NUQUI </t>
    </r>
    <r>
      <rPr>
        <b/>
        <sz val="8"/>
        <rFont val="Arial"/>
        <family val="2"/>
      </rPr>
      <t>(VIGENCIA FUTURA)</t>
    </r>
  </si>
  <si>
    <r>
      <t>INTERVENTORIA TECNICA Y ADMINISTRATIVA PARA LA CONSTRUCCION DEL CERRAMIENTO DEL AEROPUERTO DE NUQUI</t>
    </r>
    <r>
      <rPr>
        <b/>
        <sz val="8"/>
        <rFont val="Arial"/>
        <family val="2"/>
      </rPr>
      <t xml:space="preserve"> (VIGENCIA FUTURA)</t>
    </r>
  </si>
  <si>
    <t>ESTUDIOS Y DISEÑOS</t>
  </si>
  <si>
    <r>
      <t xml:space="preserve">CONSULTORIA PARA LA ELABORACION DE LOS ESTUDIOS Y DISEÑOS PARA LA ESTRUCTURACION Y CONFORMACIÓN DEL BANCO DE PROYECTOS DE LA UNIDAD </t>
    </r>
    <r>
      <rPr>
        <b/>
        <sz val="8"/>
        <rFont val="Arial"/>
        <family val="2"/>
      </rPr>
      <t>(VIGENCIA FUTURA)</t>
    </r>
  </si>
  <si>
    <t>CONVENIO U DEL VALLE</t>
  </si>
  <si>
    <t>CONSTRUCCION TORRES DE CONTROL</t>
  </si>
  <si>
    <t>CONSTRUCCION TORRE DE CONTROL AEROPUERTO ALFONSO BONILLA ARAGON DE CALI</t>
  </si>
  <si>
    <t>CONSTRUCCION TORRE DE CONTROL AEROPUERTO IPIALES</t>
  </si>
  <si>
    <t>SAN VICENTE</t>
  </si>
  <si>
    <t>CONSTRUCCION TORRE DE CONTROL AEROPUERTO DE SANVIVENTE DEL CAGUA</t>
  </si>
  <si>
    <t>CONSTRUCCION TORRE DE CONTROL AEROPUERTO TOLU</t>
  </si>
  <si>
    <t>DE ACUERDO A LA ENTREGA DE LOS ESTUDIOS U DEL VALLE</t>
  </si>
  <si>
    <t>CONSTRUCCION TORRE DE CONTROL AEROPUERTO TUMACO</t>
  </si>
  <si>
    <t>CONSTRUCCION CUARTEL DE BOMBEROS</t>
  </si>
  <si>
    <t>CONSTRUCCION CUARTEL DE BOMBEROS DEL  AEROPUERTO DE PASTO (INC INTERVENTORIA)</t>
  </si>
  <si>
    <t>CONSTRUCCION CUARTEL DE BOMBEROS DEL  AEROPUERTO DE IPIALES (INC INTERVENTORIA)</t>
  </si>
  <si>
    <t>CONSTRUCCION CUARTEL DE BOMBEROS DEL  AEROPUERTO DE SAN VICENTE (INC INTERVENTORIA)</t>
  </si>
  <si>
    <t>INTERVENTORIAS</t>
  </si>
  <si>
    <t>INTERVENTORIA TECNICA Y ADMINISTRATIVA PARA LA CONSTRUCCION TORRE DE CONTROL AEROPUERTO TOLU</t>
  </si>
  <si>
    <t>INTERVENTORIA TECNICA Y ADMINISTRATIVA PARA LA CONSTRUCCION TORRE DE CONTROL AEROPUERTO TUMACO</t>
  </si>
  <si>
    <t>CONSTRUCCION DE LA  PISTA DEL AEROPUERTO DE  IPIALES</t>
  </si>
  <si>
    <t>CONTRATAR LA CONSTRUCCIÓN DE LA ESTRUCTURA DE LA PISTA 10-28, INCLUYENDO LAS BERMAS Y EL UMBRAL DE APROXIMACIÓN, DEL AEROPUERTO SAN LUIS DE LA CIUDAD DE IPIALES</t>
  </si>
  <si>
    <t>INTERVENTORÍA TÉCNICA Y ADMINISTRATIVA PARA CONSTRUIR LA ESTRUCTURA DE LA PISTA 10-28, INCLUYENDO LAS BERMAS Y EL UMBRAL, DEL AEROPUERTO SAN LUIS DE IPIALES –NARIÑO.</t>
  </si>
  <si>
    <t>MEJORAMIENTO ESTACIONES DE RADIOAYUDAS</t>
  </si>
  <si>
    <t>Regional Cundinamarca</t>
  </si>
  <si>
    <t>ASIGNADO A REGIONALES</t>
  </si>
  <si>
    <t>Regional Antioquia</t>
  </si>
  <si>
    <t>Regional Atlantico</t>
  </si>
  <si>
    <t>Regional Norte de Santander</t>
  </si>
  <si>
    <t>Regional Meta</t>
  </si>
  <si>
    <t>SANTA ANA</t>
  </si>
  <si>
    <t>ADICION AL CONVENIO</t>
  </si>
  <si>
    <t>EL TABLAZO</t>
  </si>
  <si>
    <t>MANTENIMIENTO DE PLATAFORMAS</t>
  </si>
  <si>
    <t>GUAYMARAL</t>
  </si>
  <si>
    <t>CONTRATRA EL MANTENIMIENTO DE LA PLATAFORMA DE GUAYMARAL  (INCLUYE INTRERVETORIA)</t>
  </si>
  <si>
    <t>CONTRATRA EL MANTENIMIENTO DE LA PLATAFORMA DE IBAGUE  (INCLUYE INTRERVETORIA)</t>
  </si>
  <si>
    <t>CONTRATRA EL MANTENIMIENTO DE LA PLATAFORMA DE FLORENCIA  (INCLUYE INTRERVETORIA)</t>
  </si>
  <si>
    <t>CONTRATRA EL MANTENIMIENTO DE LA PLATAFORMA DE POPAYAN  (INCLUYE INTRERVETORIA)</t>
  </si>
  <si>
    <t>CONTRATRA EL MANTENIMIENTO DE LA PLATAFORMA DE VILLAVICENCIO  (INCLUYE INTRERVETORIA)</t>
  </si>
  <si>
    <t>CONTRATRA EL MANTENIMIENTO DE LA PISTA DE GUYAMARAL  (INCLUYE INTRERVETORIA)</t>
  </si>
  <si>
    <t xml:space="preserve">CONTRATRA EL MANTENIMIENTO DE LA PISTA DE IBAGUE  (INCLUYE INTRERVETORIA) </t>
  </si>
  <si>
    <t>CONTRATRA EL MANTENIMIENTO DE LA PISTA DE SAN VICENTE  (INCLUYE INTRERVETORIA)</t>
  </si>
  <si>
    <t>CONTRATRA EL MANTENIMIENTO DE LA PISTA DE FLORENCIA  (INCLUYE INTRERVETORIA)</t>
  </si>
  <si>
    <t>CIMITARRA</t>
  </si>
  <si>
    <t>CONTRATRA EL MANTENIMIENTO DE LA PISTA DE CIMITARRA  (INCLUYE INTRERVETORIA)</t>
  </si>
  <si>
    <t>CONTRATRA EL MANTENIMIENTO DE LA PISTA DE NUQUI  (INCLUYE INTRERVETORIA)</t>
  </si>
  <si>
    <t>OTU</t>
  </si>
  <si>
    <t>CONTRATRA EL MANTENIMIENTO DE LA PISTA DE OTU  (INCLUYE INTRERVETORIA)</t>
  </si>
  <si>
    <t>CONTRATRA EL MANTENIMIENTO DE LA PISTA DE SAN ANDRES (INCLUYE INTRERVETORIA)</t>
  </si>
  <si>
    <t>CONTRATRA EL MANTENIMIENTO DE LA PISTA DE TOLU  (INCLUYE INTRERVETORIA)</t>
  </si>
  <si>
    <t>CONTRATRA EL MANTENIMIENTO DE LA PISTA DE RIOHACHA  (INCLUYE INTRERVETORIA)</t>
  </si>
  <si>
    <t>CONTRATRA EL MANTENIMIENTO DE LA PISTA DE ARMENIA  (INCLUYE INTRERVETORIA)</t>
  </si>
  <si>
    <t>CONTRATRA EL MANTENIMIENTO DE LA PISTA DE TUMACO  (INCLUYE INTRERVETORIA)</t>
  </si>
  <si>
    <t>CONTRATRA EL MANTENIMIENTO DE LA PISTA DE ARAUCA  (INCLUYE INTRERVETORIA)</t>
  </si>
  <si>
    <t>TAME</t>
  </si>
  <si>
    <t>CONTRATRA EL MANTENIMIENTO DE LA PISTA DE TAME  (INCLUYE INTRERVETORIA)</t>
  </si>
  <si>
    <t>BARRANCABERMEJA</t>
  </si>
  <si>
    <t>CONTRATRA EL MANTENIMIENTO DE LA PISTA DE BARRANCABERMEJA  (INCLUYE INTRERVETORIA)</t>
  </si>
  <si>
    <t>CONTRATRA EL MANTENIMIENTO DE LA PISTA DE VILLAVICENCIO  (INCLUYE INTRERVETORIA)</t>
  </si>
  <si>
    <t>TRINIDAD</t>
  </si>
  <si>
    <t>CONTRATRA EL MANTENIMIENTO DE LA PISTA DE TRINIDAD  (INCLUYE INTRERVETORIA)</t>
  </si>
  <si>
    <t>MITU</t>
  </si>
  <si>
    <t>CONTRATRA EL MANTENIMIENTO DE LA PISTA DE MITU  (INCLUYE INTRERVETORIA)</t>
  </si>
  <si>
    <t>PTO CARREÑO</t>
  </si>
  <si>
    <t>CONTRATRA EL MANTENIMIENTO DE LA PISTA DE PUERTO CARREÑO  (INCLUYE INTRERVETORIA)</t>
  </si>
  <si>
    <t>CONTRATRA EL MANTENIMIENTO DE LAS ZONAS DE SEGURIDAD DE GUAYMARAL  (INCLUYE INTRERVETORIA)</t>
  </si>
  <si>
    <t>CONTRATRA EL MANTENIMIENTO DE LAS ZONAS DE SEGURIDAD DE SAN VICENTE  (INCLUYE INTRERVETORIA)</t>
  </si>
  <si>
    <t>CONTRATRA EL MANTENIMIENTO DE LAS ZONAS DE SEGURIDAD DE FLORENCIA  (INCLUYE INTRERVETORIA)</t>
  </si>
  <si>
    <t>CONTRATRA EL MANTENIMIENTO DE LAS ZONAS DE SEGURIDAD DE VILLAVICENCIO  (INCLUYE INTRERVETORIA)</t>
  </si>
  <si>
    <t>CONTRATRA EL MANTENIMIENTO DEL TERMINAL DE FLORENCIA  (INCLUYE INTRERVETORIA)</t>
  </si>
  <si>
    <t>INTERVENTORIA</t>
  </si>
  <si>
    <t>INTERVENTORIA TECNICA PARA EL MANTENIMIENTO PISTA DE SAN ANDRES  (INCLUYE INTRERVETORIA)</t>
  </si>
  <si>
    <t>ESTUDIOS Y DISEÑOS VF</t>
  </si>
  <si>
    <t>ADECUACION, MANTENIMIENTO Y MEJORAMIENTO DE LA INFRAESTRUCTURA AMBIENTAL</t>
  </si>
  <si>
    <t>MANTENIMIENTO SISTEMAS DE TRATAMIENTO DE AGUA POTABLE, RESIDUALES E INDUSTRIALES  DE LOS AEROPUERTOS  DE LA REGIONAL VALLE</t>
  </si>
  <si>
    <t>Abril 30 de 2015</t>
  </si>
  <si>
    <t>1 Julio de 2015</t>
  </si>
  <si>
    <t>MANTENIMIENTO SISTEMAS DE TRATAMIENTO DE AGUA POTABLE, RESIDUALES E INDUSTRIALES DE LOS AEROPUERTOS DE LA REGIONAL CUNDINAMARCA</t>
  </si>
  <si>
    <t>SEPTIEMBRE,</t>
  </si>
  <si>
    <t>SAN VICENTE DE CAGUAN</t>
  </si>
  <si>
    <t>PUERTO ASIS</t>
  </si>
  <si>
    <t xml:space="preserve">MANTENIMIENTO SISTEMAS DE TRATAMIENTO DE AGUA POTABLE, RESIDUALES E INDUSTRIALES  DE LOS AEROPUERTOS DE LA REGIONAL META Y NTE DE SANTANDER  </t>
  </si>
  <si>
    <t>OCAÑA</t>
  </si>
  <si>
    <t>NIVEL NACIONAL</t>
  </si>
  <si>
    <t xml:space="preserve">
PROGRAMAS DE MEJORAMIENTO PARA LA PREVENCIÓN DEL PELIGRO AVIARIO PARA LOS AEROPUERTOS  A NIVEL NACIONAL
</t>
  </si>
  <si>
    <t>PROGRAMAS DE MITIGACIÓN DE RUIDO -  MANTENIMIENTO BARRERA</t>
  </si>
  <si>
    <t>Marzo 30 de 2015</t>
  </si>
  <si>
    <t>1 de junio de 2015</t>
  </si>
  <si>
    <t>REG. CUNDINAMARCA</t>
  </si>
  <si>
    <t>30 de abril de 2015</t>
  </si>
  <si>
    <t>1 julio de 2015</t>
  </si>
  <si>
    <t>REG. ANTIOQUIA</t>
  </si>
  <si>
    <t>REG. ATLANTICO</t>
  </si>
  <si>
    <t>REG. VALLE</t>
  </si>
  <si>
    <t>REG. NTE SANTANDER</t>
  </si>
  <si>
    <t>REG. META</t>
  </si>
  <si>
    <t>LEVANTAMIENTO DE INFORMACION PARA ESTUDIOS PLANES Y PROGRAMAS AMBIENTALES</t>
  </si>
  <si>
    <t>MONITOREO DE RUIDO Y AIRE DEL AEROPUERTO INTERNACIONAL ELDORADO</t>
  </si>
  <si>
    <t>1 de Abril de 2015</t>
  </si>
  <si>
    <t>MONITOREO DE CALIDAD DE AIRE, RUIDO Y MANEJO DE RESIDUOS SOLIDOS</t>
  </si>
  <si>
    <t>28 de febrero de 2015</t>
  </si>
  <si>
    <t>1 de mayo 2015</t>
  </si>
  <si>
    <t>PUERTO CARREÑO</t>
  </si>
  <si>
    <t>TRAMITES DE EVALUACION ANTE AUTORIDADES AMBIENTALES A VIVEL NACIONAL</t>
  </si>
  <si>
    <t xml:space="preserve">CONTRATAR LAS INTRVENTORIAS AMBIENTALES DE LOS AEROPUERTOS </t>
  </si>
  <si>
    <t>30 de marzo de 2015</t>
  </si>
  <si>
    <t>AMPLIACION MANTENIMIENTO Y MEJORAMIENTO DE LA INFRAESTRUCTURA AEROPORTUARIA AEROPUERTOS COMUNITARIOS</t>
  </si>
  <si>
    <t>Araracuara</t>
  </si>
  <si>
    <t>CONTRATRA EL MANTENIMIENTO DE LA PISTA DE ARARACUARA  (INCLUYE INTRERVETORIA)</t>
  </si>
  <si>
    <t>Sogamoso</t>
  </si>
  <si>
    <t xml:space="preserve">CONTRATRA EL MANTENIMIENTO DE LA PISTA DE Sogamoso-Duitama-Paipa  (INCLUYE INTRERVETORIA) DE ACUERDO A BIABILIDAD </t>
  </si>
  <si>
    <t>Bahia Solano</t>
  </si>
  <si>
    <t>CONTRATRA EL MANTENIMIENTO DE LA PISTA DE BAHIA SOLANO  (INCLUYE INTRERVETORIA)</t>
  </si>
  <si>
    <t>Capurgana</t>
  </si>
  <si>
    <t>CONTRATRA EL MANTENIMIENTO DE LA PISTA DE CAPURGANA  (INCLUYE INTRERVETORIA)</t>
  </si>
  <si>
    <t>PUERTO INIRIDA - CESAR GAVIRIA TRUJILLO</t>
  </si>
  <si>
    <t>San Jose del Guaviare</t>
  </si>
  <si>
    <t>CONTRATRA EL MANTENIMIENTO DE LA PISTA DE SAN JOSE DEL GUAVIARE  (INCLUYE INTRERVETORIA)</t>
  </si>
  <si>
    <t>Puerto leguizamo</t>
  </si>
  <si>
    <t>CONTRATRA EL MANTENIMIENTO DE LA PISTA DE PUERTO LEGUIZAMO  (INCLUYE INTRERVETORIA)</t>
  </si>
  <si>
    <t>Cumaribo</t>
  </si>
  <si>
    <t>CONTRATRA EL MANTENIMIENTO DE LA PISTA DE BARRANCOMINAS  (INCLUYE INTRERVETORIA)</t>
  </si>
  <si>
    <t>PRIMAVERA</t>
  </si>
  <si>
    <t>CONTRATRA EL MANTENIMIENTO DE LA PISTA DE CUMARIBO  (INCLUYE INTRERVETORIA)</t>
  </si>
  <si>
    <t xml:space="preserve">MANTENIMIENTO  INFRAESTRUCTURA ADMINISTRATIVA </t>
  </si>
  <si>
    <t>CONTRATAR EL MANTENIMIENTO DE LA INFRAESTRUCTURA ADMINISTRATIVA DEL NEAA Y CEA</t>
  </si>
  <si>
    <t>Mariquita</t>
  </si>
  <si>
    <t>CONTRATAR EL MANTENIMIENTO DE LA INFRAESTRUCTURA ADMINISTRATIVA Y SEDE VACIONAL DEL AEROPUERTO DE MARIQUITA</t>
  </si>
  <si>
    <t>Santa Marta</t>
  </si>
  <si>
    <t>CONTRATAR EL MANTENIMIENTO DE LA INFRAESTRUCTURA ADMINISTRATIVA Y SEDE VACIONAL DEL AEROPUERTO DE SANTA MARTA</t>
  </si>
  <si>
    <t>MANTENIMIENTO VIAS DE ACCESO ESTACIONES AERONAUTICAS</t>
  </si>
  <si>
    <t>ESTACION DE CERRO VERDE, SANTA ELENA Y CERRO GORDO</t>
  </si>
  <si>
    <t>Mantenimiento de vías, Cerro Verde continuar con asfalto, Cerro Gordo y Santa Elena.</t>
  </si>
  <si>
    <t>abril</t>
  </si>
  <si>
    <t>junio</t>
  </si>
  <si>
    <t>MANTENIMIENTO CASA DE PLANTAS Y CUARTOS ELECTRICOS</t>
  </si>
  <si>
    <t>AEROPUERTO DE B/SOLANO, MONTERIA QUIBDO</t>
  </si>
  <si>
    <t>B/SOLANO, QUIBDO, VOR MONTERIA</t>
  </si>
  <si>
    <t>mayo</t>
  </si>
  <si>
    <t>TODAS LAS ESTACIONES AERONAUTICAS DE LA REGIONAL</t>
  </si>
  <si>
    <t>MANTENIMINTO CERRAMIENTOS, AGUAS RESIDUALES, Y EN GENERAL PINTURA Y ADECUACIONES</t>
  </si>
  <si>
    <t>​MANTENIMIENTO A LAS ZONAS VERDES DE LAS ESTACIONES AERONAUTICAS DE LA REGIONAL ANTIOQUIA</t>
  </si>
  <si>
    <t>marzo</t>
  </si>
  <si>
    <t>MANTENIMIENTO DE CERRAMIENTOS.</t>
  </si>
  <si>
    <t xml:space="preserve">Aeropuerto El Río de Amalfi – Antioquia y Mandinga de Condoto - Chocó
</t>
  </si>
  <si>
    <t>Mantenimiento de cerramiento perimetral del Aeropuerto El Río de Amalfi – Antioquia  y Mandinga de Condoto - Chocó</t>
  </si>
  <si>
    <t>Abril</t>
  </si>
  <si>
    <t>Aeropuerto Gustavo Rojas Pinilla de Santander y Alberto Jaramillo Sanchez de Otú – Remedios - Antioquia</t>
  </si>
  <si>
    <t xml:space="preserve">Mantenimiento del cerramiento  de los Aeropuerto Gustavo Rojas Pinilla de Santander y Alberto Jaramillo Sanchez de Otú – Remedios - Antioquia
</t>
  </si>
  <si>
    <t xml:space="preserve">Aeropuerto El Pindo de Montelibano - Cordoba
</t>
  </si>
  <si>
    <t>Mantenimiento de cerramiento perimetral del Aeropuerto El Pindo de Montelibano - Cordoba</t>
  </si>
  <si>
    <t>julio</t>
  </si>
  <si>
    <t>Aeropuerto Morela de Puerto Berrio - Antioquia</t>
  </si>
  <si>
    <t>Mantenimiento de cerramiento perimetral del Aeropuerto Morela de Puerto Berrio - Antioquia</t>
  </si>
  <si>
    <t>Junio</t>
  </si>
  <si>
    <t>Berastegui de Ciénaga de Oro de Cordoba</t>
  </si>
  <si>
    <t>Mantenimiento de cerramiento perimetral del Aeropuerto Berastegui de Ciénaga de Oro de Cordoba</t>
  </si>
  <si>
    <t>Mandinga de Condoto - Chocó</t>
  </si>
  <si>
    <t>Mantenimiento de la plataforma del aeropuerto Mandinga de Condoto - Chocó</t>
  </si>
  <si>
    <t>Mantenimiento de la plataforma del aeropuerto El Pindo de Montelibano - Cordoba</t>
  </si>
  <si>
    <t>El Río de Amalfi - Antioquia</t>
  </si>
  <si>
    <t>Mantenimiento de la pista del aeropuerto El Río de Amalfi - Antioquia</t>
  </si>
  <si>
    <t>Mantenimiento de la pista del aeropuerto Berastegui de Ciénaga de Oro de Cordoba</t>
  </si>
  <si>
    <t>Mantenimiento de la calle de rodaje del aeropuerto Mandinga de Condoto - Chocó</t>
  </si>
  <si>
    <t xml:space="preserve">El Pindo de Montelibano - Cordoba
</t>
  </si>
  <si>
    <t>Mantenimiento de la pista del aeropuerto El Pindo de Montelibano - Cordoba</t>
  </si>
  <si>
    <t>Mórela de Puerto Berrio - Antioquia y Gustavo Rojas Pinilla de Cimitarra - Santander</t>
  </si>
  <si>
    <t>Contratar el Mantenimiento de las zonas seguridad y canales de los aeropuertos Morela de Puerto Berrio - Antioquia y Gustavo Rojas Pinilla de Cimitarra - Santander</t>
  </si>
  <si>
    <t>Noviembre</t>
  </si>
  <si>
    <t>Alberto Jaramillo Sanchez de Otú – Remedios - Antioquia y El Río de Amalfi - Antioquia</t>
  </si>
  <si>
    <t>Contratar el Mantenimiento de las zonas seguridad y canales de los aeropuertos Alberto Jaramillo Sanchez de Otú – Remedios - Antioquia y El Río de Amalfi - Antioquia</t>
  </si>
  <si>
    <t>Mandinga de Condoto - Chocó y José María Córdova de Rionegro - Antioquia</t>
  </si>
  <si>
    <t>Contratar el Mantenimiento de las zonas seguridad y canales del aeropuerto Mandinga de Condoto - Chocó y José María Córdova de Rionegro - Antioquia</t>
  </si>
  <si>
    <t>Reyes Murillo de Nuqui - Chocó y Alí Piedrahita de Urrao - Antioquia</t>
  </si>
  <si>
    <t>Contratar el Mantenimiento de las zonas seguridad y canales de los aeropuerto Reyes Murillo de Nuqui - Chocó y Alí Piedrahita de Urrao - Antioquia</t>
  </si>
  <si>
    <t xml:space="preserve">Berastegui de Ciénaga de Oro de Cordoba y El Pindo de Montelibano - Cordoba
</t>
  </si>
  <si>
    <t>Contratar el Mantenimiento de las zonas seguridad y canales de los aeropuertos Berastegui de Cienaga de Oro - Cordoba y El Pindo de Montelibano - Cordoba</t>
  </si>
  <si>
    <t>MANTENIMIENTO DE TORRES DE CONTROL.</t>
  </si>
  <si>
    <t>Mayo</t>
  </si>
  <si>
    <t>Reyes Murillo de Nuqui - Chocó</t>
  </si>
  <si>
    <t>José María Cordova de Rionegro - Antioquia</t>
  </si>
  <si>
    <t>Antonio Roldan Betancur de Carepa - Antioquia</t>
  </si>
  <si>
    <t>agosto</t>
  </si>
  <si>
    <t>Gustavo Rojas Pinilla de Cimitarra - Santander</t>
  </si>
  <si>
    <t>Mantenimiento de la infraestructura complementaria del aeropuerto Reyes Murillo de Nuqui - Chocó</t>
  </si>
  <si>
    <t>Olaya Herrera de Medellín</t>
  </si>
  <si>
    <t>Dependencia:AMBIENTAL</t>
  </si>
  <si>
    <t>ADECUACIÓN  SISTEMAS  DE TRATAMIENTO DE AGUAS</t>
  </si>
  <si>
    <t>Adecuación pozo séptico cimitarra</t>
  </si>
  <si>
    <t>Cimitarra y estaciones Aeronauticas</t>
  </si>
  <si>
    <t>Contratar la adecuación  de los sistemas de tratamiento de agua residual de los aeropuertos cimitarra y estaciones L.I y la ceja</t>
  </si>
  <si>
    <t>Marzo</t>
  </si>
  <si>
    <t>mantenimientos   de los sistemas de tratamiento de agua residual  aeropuertos de la Regional  Antioquia</t>
  </si>
  <si>
    <t>Aeropuertos Reg. Ant.</t>
  </si>
  <si>
    <t>ADECUACIÓN  SISTEMAS  DE MANEJO DE RESIDUOS SÓLIDOS.</t>
  </si>
  <si>
    <t>adecuación  de las caseta de residuos sólidos aeropuerto el Pindo de Montelibano</t>
  </si>
  <si>
    <t>montelibano</t>
  </si>
  <si>
    <t xml:space="preserve"> ADECUACIÓN DE INSTALACIONES HIDRAULICAS Y SANITARIAS</t>
  </si>
  <si>
    <t>Mantenimiento de las instalaciones hidraulicas y sanitarias aeropuerto Alí Piedrahita de Urrao</t>
  </si>
  <si>
    <t>urrao</t>
  </si>
  <si>
    <t>PROGRAMAS DE CONTROL GEOTECNICO</t>
  </si>
  <si>
    <t>Mantenimiento paisajistico aeropuertos de la Regional Antioquia</t>
  </si>
  <si>
    <t>Suministro insumos químicos aeropuertos de la Regional Antioquia</t>
  </si>
  <si>
    <t>MEJORAMIENTO  SISTEMAS DE TRATAMIENTOS DE AGUAS</t>
  </si>
  <si>
    <t>Adecuación sistema de tratamiento de Agua Residual aeropuerto Otú - Remedios</t>
  </si>
  <si>
    <t>otú</t>
  </si>
  <si>
    <t>Mejoramiento sistema de tratamiento de Agua Potable aeropuertos Regional Ant.</t>
  </si>
  <si>
    <t>ELABORACIÓN DE PROGRAMAS DE MONITOREO DE CALIDAD DE AGUAS, AIRE, RUIDO Y MANEJO DE RESIDUOS SÓLIDOS</t>
  </si>
  <si>
    <t>Se realiza el monitoreo de calidad de aguas , aire , ruido  en los  aeropuertos de Otú Remedios y  Mandinga de Condoto.</t>
  </si>
  <si>
    <t>Otú y condoto</t>
  </si>
  <si>
    <t>TOTAL PRESUPUESTO</t>
  </si>
  <si>
    <t>Dependencia: CERTIFICACION AEROMEDICA ESPECIAL DEL PERSONAL AERONAUTICO</t>
  </si>
  <si>
    <t>CERTIFICACION AEROMEDICA ESPECIAL DEL PERSONAL AERONAUTICO</t>
  </si>
  <si>
    <t>CONTRATAR LA CERTIFICACION AEROMEDICA ESPECIAL DEL PERSONAL AERONAUTICO: CONTROLADORES DE TRANSITO AEREO Y OPERADORES DE ESTACION AERONAUTICA DE LA REGIONAL ANTIOQUIA</t>
  </si>
  <si>
    <t>DICIEMBRE DE 2015</t>
  </si>
  <si>
    <t>SEGÚN LO ADJUDICADO</t>
  </si>
  <si>
    <t>Dependencia: SALUD OCUPACIONAL</t>
  </si>
  <si>
    <t xml:space="preserve">ADQUISICIÓN DE ELEMENTOS Y EQUIPOS DE PROTECCIÓN PERSONAL </t>
  </si>
  <si>
    <t>_</t>
  </si>
  <si>
    <t>Adquisición de elementos de protección personal para los funcionarios de los Aeropuertos de la Regional Antioquia</t>
  </si>
  <si>
    <t>Contratar el mantenimiento preventivo y correctivo de los equipos del gimnasio en el Aeropuerto de Rionegro</t>
  </si>
  <si>
    <t>ADQUISICIÓN DE BOTIQUINES Y MEDICAMENTOS</t>
  </si>
  <si>
    <t>Adquisición de botiquines y medicamentos</t>
  </si>
  <si>
    <t>ADQUISICIÓN DE EQUIPOS Y ELEMENTOS DE PRIMEROS AUXILIOS</t>
  </si>
  <si>
    <t xml:space="preserve">Adquisición de equipos y elementos de primeros auxilios </t>
  </si>
  <si>
    <t>CONTRATACIÓN DE LAS ACTIVIDADES DE SEÑALIZACIÓN  DEMARCACIÓN</t>
  </si>
  <si>
    <t>Contratar las actividades de señalización y demarcación</t>
  </si>
  <si>
    <t>ADQUISICIÓN DE SERVICIOS MEDICOS PARA EL PROGRAMA DE SALUD OCUPACIONAL</t>
  </si>
  <si>
    <t>Contratar los servicios medicos integrales de salud ocupacional, para la Regional Antioquia y sus Aeropuertos adscritos</t>
  </si>
  <si>
    <t>ADQUISICIÓN DE PROGRAMAS DE INTERVENCIÓN DE LAS CAMPAÑAS EPIDEMIOLOGICAS</t>
  </si>
  <si>
    <t>Contratar el programa de intervención de riesgo psicosocial para los funcionarios de los aeropuertos de rionegro, monteria, quibdo y apartado de la regional antioquia</t>
  </si>
  <si>
    <t>SERVICIO DE ACONDICIONAMIENTO FISICO DEPORTIVO PARA LOS FUNCIONARIOS</t>
  </si>
  <si>
    <t>Contratar el servicio de acondicionamiento fisico deportivo para los funcionarios del aeropuerto jose maria cordova en las instalaciones de la Entidad</t>
  </si>
  <si>
    <t>Dependencia: SOPORTE TECNICO</t>
  </si>
  <si>
    <t>RIONEGRO, QUIBDO, MONTERIA, MANIZALES</t>
  </si>
  <si>
    <t>ADQUISICION DE BANCO DE BATERIAS PARA UPS</t>
  </si>
  <si>
    <t>NUQUI, LA BARRA, TRINIDAD , CAUCACIA.</t>
  </si>
  <si>
    <t>TADA LA REGIOANAL</t>
  </si>
  <si>
    <t>MANTENIMIENTO AIRES ACONDICIONADOS</t>
  </si>
  <si>
    <t>QUIBDO, APARTADO</t>
  </si>
  <si>
    <t>25.000.00</t>
  </si>
  <si>
    <t>TODA LA REGIONAL</t>
  </si>
  <si>
    <t>ADQUISICION DE BOMBILLOS TIPO LED PARA CONTINUAR CON EL CAMBIO A ESTA TECNOLOGIA A ESTACIONES Y AEROPUERTOS.</t>
  </si>
  <si>
    <t xml:space="preserve">ADQUISICION DE ACEITES Y PINTURAS </t>
  </si>
  <si>
    <t>RIONEGRO, MONTERIA, QUIBDO</t>
  </si>
  <si>
    <t>ADQUISICION DE DE HERRAMINTAS PARA MANTENIMINTO.</t>
  </si>
  <si>
    <t>ADQUISICION DE CABLES ELECTRICOS</t>
  </si>
  <si>
    <t>ADQUISICION DE MATERIALES ELECTRICOS</t>
  </si>
  <si>
    <t>RIONEGRO, CAREPA, QUIBDO</t>
  </si>
  <si>
    <t xml:space="preserve">ADQUISICION DE AIRES ACONDICIONADOS, DE VENTANA Y SPLIT </t>
  </si>
  <si>
    <t>ESTACIONES DE COMUNICACIONES</t>
  </si>
  <si>
    <t>ESTUDIO DE INTERFERENCIAS QUIBDO-BRIGADA 15, SANTA ELENA, OLAYA HERRERA, BOQUERON, YARUMAL</t>
  </si>
  <si>
    <t>30.000.00</t>
  </si>
  <si>
    <t>CERRO VERDE, SANTA ELENA, B/SOLANO</t>
  </si>
  <si>
    <t xml:space="preserve">REPOSICION DE ANTENAS VHF </t>
  </si>
  <si>
    <t>MANTENIMINTO ODU Y TARJETAS DEL SISTEMA PROMINA</t>
  </si>
  <si>
    <t>QUIBDO, CERRO GORDO, OTU, APARTADO</t>
  </si>
  <si>
    <t>QUIBDO, RIONEGRO</t>
  </si>
  <si>
    <t>REPOSICION DE TARJETAS SISTEMAS ILS</t>
  </si>
  <si>
    <t>SANTA ELENA, CAREPA</t>
  </si>
  <si>
    <t>MANTENIMINTO SISTEMAS PUESTA A TIERRA</t>
  </si>
  <si>
    <t>MANTENIMINTO ACOMETIDA G/S</t>
  </si>
  <si>
    <t>MONTELIBANO</t>
  </si>
  <si>
    <t>INSTALACION ENERGIA MONTELIBANO</t>
  </si>
  <si>
    <t>QUIBDO, MONTERIA</t>
  </si>
  <si>
    <t>REPOSICION DE TRANSFERENCIA DE QUIBDO Y ESTACION VOR/DME MONTERIA</t>
  </si>
  <si>
    <t>MANTENIMINTO PARQUE AUTOMOTPOR SOPORTE TECNICO</t>
  </si>
  <si>
    <t>COMBUSTIBLE  PARA VEHICULOS  REGIONAL ANTIOQUIA</t>
  </si>
  <si>
    <t>ESTACIONES AERONAUTICAS</t>
  </si>
  <si>
    <t>ADQUISICION ACPM PLANTAS ELECTRICAS REGIONAL ANTIOQUIA</t>
  </si>
  <si>
    <t>21360801000000513</t>
  </si>
  <si>
    <t>ADQUISICION DE PEAJES</t>
  </si>
  <si>
    <t>21360801000000514</t>
  </si>
  <si>
    <t>ADQUISICION DE PAPEL TERMICO</t>
  </si>
  <si>
    <t>RIONERO</t>
  </si>
  <si>
    <t>ADQUISICION DE REPUESTOS DE TELECOMUNICACIONES</t>
  </si>
  <si>
    <t>ABRIL-OCTUBRE</t>
  </si>
  <si>
    <t>ESTACIONES RADIOAYUDAS</t>
  </si>
  <si>
    <t>ADQUISICION DE REPUESTOS  DE RADIOAYUDAS, COMUNICACIONES, RADAR</t>
  </si>
  <si>
    <t>AUTSORCIN DE REPUESTOS</t>
  </si>
  <si>
    <t>CAREPA</t>
  </si>
  <si>
    <t>ADQUISICION DE GOBERNADOR PARA PLANTA DE CAREPA</t>
  </si>
  <si>
    <t>TODAS LAS ESTACIONES</t>
  </si>
  <si>
    <t xml:space="preserve">MANTENIMIENTO CORRECTIVO Y PREVENTIVO </t>
  </si>
  <si>
    <t>ABRIL-MAYO</t>
  </si>
  <si>
    <t>RIONEGRO, OLAYA HERRERA</t>
  </si>
  <si>
    <t>ADQUISICION DE DIADEMAS BIAURALES</t>
  </si>
  <si>
    <t>Dependencia: BIENESTAR SOCIAL</t>
  </si>
  <si>
    <t>APLICACIÓN DE LOS PROGRAMAS DE BIENESTAR SOCIAL</t>
  </si>
  <si>
    <t>Realización de vacaciones recreativas hijos de funcionarios de aeropuertos de la Regional Antioquia</t>
  </si>
  <si>
    <t>FECHA  DE RADICACION PROYECTO</t>
  </si>
  <si>
    <t>% DE AVANCE DE EJECUCIÓN DEL CONTRATO</t>
  </si>
  <si>
    <t xml:space="preserve">% DE AVANCE DE OBLIGACIONES </t>
  </si>
  <si>
    <t>OBSERVACIONES OAP</t>
  </si>
  <si>
    <t>MANTENIMIENTO Y CONSERVACION DE LA INFRAESTRUCTURA AEROPORTUARIA</t>
  </si>
  <si>
    <t>MANTENIMIENTO DE CERRAMIENTOS</t>
  </si>
  <si>
    <t>ARAUQUITA</t>
  </si>
  <si>
    <t>CONTRATAR MANTENIMIENTO CERRAMIENTO PERIMETRAL AEROP EL TRONCAL DE ARAUQUITA</t>
  </si>
  <si>
    <t>N.A</t>
  </si>
  <si>
    <t>CONTRATAR MANTENIMIENTO CERRAMIENTO PERIMETRAL AEROP AGUAS CLARAS DE OCAÑA</t>
  </si>
  <si>
    <t>CONTRATAR MANTENIMIENTO CERRAMIENTO PERIMETRAL AEROP VARGAS SANTOS DE TAME</t>
  </si>
  <si>
    <t>SARAVENA</t>
  </si>
  <si>
    <t>CONTRATAR MANTENIMIENTO CERRAMIENTO PERIMETRAL AEROP SARAVENA</t>
  </si>
  <si>
    <t>CONTRATAR MANTENIMEINTO CERRAMIENTO PERIMETRAL AEROP PALONEGRO DE BUCARAMANGA</t>
  </si>
  <si>
    <t>CONTRATAR MANTENIMEINTO CERRAMIENTO PERIMETRAL AEROPUERTO SANTIAGO PEREZ QUIROZ DE ARAUCA</t>
  </si>
  <si>
    <t>CONTRATAR OBRAS DE MANTENIMEINTO DE LA PISTA EN EL AEROPUERTO EL TRONCAL DE ARAUQUITA</t>
  </si>
  <si>
    <t>CRAVONORTE</t>
  </si>
  <si>
    <t>CONTRATAR OBRAS DE MANTENIMEINTO DE LA PISTA EN EL AEROPUERTO DE CRAVONORTE</t>
  </si>
  <si>
    <t>CONTRATAR OBRAS DE MANTENIMEINTO SEÑALIZACION PISTA EN EL AEROPUERTO LOS COLONIZADORES DE SARAVENA</t>
  </si>
  <si>
    <t>CONTRATAR OBRAS DE CORRECCION BACHES PRESENTES EN PISTA EN EL AEROPUERTO SANTIAGO PEREZ QUIROZ DE ARAUCA</t>
  </si>
  <si>
    <t>CONTRATAR OBRAS DE MANTENIMIENTO CANALES DE EVACUACION DE AGUAS LLUVIAS EN EL AEROPUERTO CAMILO DAZA DE CUCUTA</t>
  </si>
  <si>
    <t>CONTRATAR OBRAS DE MANTENIMIENTO CANALES DE EVACUACION DE AGUAS LLUVIAS EN EL AEROPUERTO VARGAS SANTOS DE TAME</t>
  </si>
  <si>
    <t>CONTRATAR EL MANTENIMIENTO DE ZONAS DE SEGURIDAD EN EL AEROPUERTO CAMILO DAZA DE CUCUTA</t>
  </si>
  <si>
    <t>CONTRATAR EL MANTENIMIENTO DE ZONAS DE SEGURIDAD Y CANALES EN EL AEROPUERTO YARIGUIES DE BARRANCABERMEJA</t>
  </si>
  <si>
    <t>CONTRATAR EL MANTENIMIENTO DE ZONAS DE SEGURIDAD EN EL AEROPUERTO SANTIAGO PEREZ QUIROZ DE ARAUCA</t>
  </si>
  <si>
    <t>CONTRATAR EL MANTENIMIENTO DE ZONAS DE SEGURIDAD EN EL AEROPUERTO DE VARGAS SANTOS DE TAME</t>
  </si>
  <si>
    <t>CONTRATAR EL MANTENIMIENTO DE ZONAS DE SEGURIDAD Y CANALES EN EL AEROPUERTO LOS COLONIZADORES DE SARAVENA</t>
  </si>
  <si>
    <t>CONTRATAR EL MANTENIMIENTO DE ZONAS DE SEGURIDAD Y CANALES EN EL AEROPUERTO PALONEGRO DE BUCARAMANGA</t>
  </si>
  <si>
    <t>CONTRATAR EL MANTENIMIENTO DE ZONAS DE SEGURIDAD EN EL AEROPUERTO EL TRONCAL DE ARAUQUITA</t>
  </si>
  <si>
    <t>CONTRATAR EL MANTENIMIENTO DE ZONAS DE SEGURIDAD EN EL AEROPUERTO DE CRAVONORTE</t>
  </si>
  <si>
    <t>CONTRATAR EL MANTENIMIENTO DE ZONAS DE SEGURIDAD Y CANALES EN EL AEROPUERTO AGUAS CLARAS DE OCAÑA</t>
  </si>
  <si>
    <t>MANTENIMIENTO DE TORRES DE CONTROL</t>
  </si>
  <si>
    <t>CONTRATAR LAS OBRAS DE MANTENIMIENTO TORRE DE CONTROL EN EL AEROPUERTO LOS COLONIZADORES DE SARAVENA</t>
  </si>
  <si>
    <t>CONTRATAR LAS OBRAS DE MANTENIMIENTO TORRE DE CONTROL EN EL AEROPUERTO YARIGUIES DE BARRANCBERMEJA</t>
  </si>
  <si>
    <t>CONTRATAR LAS OBRAS DE MANTENIMIENTO TORRE DE CONTROL EN EL AEROPUERTO AGUAS CLARAS DE OCAÑA</t>
  </si>
  <si>
    <t>CONTRATAR OBRAS DE MANTENIMIENTO AREA DE PARQUEADERO DIRECCION REGIONAL NORTE DE SANTANDER - AEROPUERTO CAMILO DAZA DE CUCUTA</t>
  </si>
  <si>
    <t>CONTRATAR OBRAS DE MANTENIMIENTO DOMO DE ACCESO HASTA PLATAFORMA COMERCIAL EN EL AEROPUERTO LOS COLONIZADORES DE SARAVENA</t>
  </si>
  <si>
    <t>CONTRATAR OBRAS DE MANTENIMIENTO INSTALACIONES DE APOYO AEROPUERTO AGUAS CLARAS DE OCAÑA</t>
  </si>
  <si>
    <t xml:space="preserve"> CONTRATAR LAS OBRAS DE MANTENIMIENTO AREA PARQUEADERO AEROPUERTO SANTIAGO PEREZ QUIROZ DE ARAUCA</t>
  </si>
  <si>
    <t>CONTRATAR EL MANTENIMIENTO TERMINAL DE PASAJEROS EN EL AEROPUERTO LOS COLONIZADORES DE SARAVENA</t>
  </si>
  <si>
    <t>CONTRATAR OBRAS DE MANTENIMIENTO TERMINAL DE PASAJEROS EN EL AEROPUERTO DE CRAVONORTE</t>
  </si>
  <si>
    <t>CONTRATAR LAS OBRAS DE MANTENIMIENTO TERMINAL DE PASAJEROS AEROPUERTO AGUAS CLARAS DE OCAÑA</t>
  </si>
  <si>
    <t>CONTRATAR LAS OBRAS DE MANTENIMIENTO TERMINAL DE PASAJEROS AEROPUERTO SANTIAGO PEREZ QUIROZ DE ARAUCA</t>
  </si>
  <si>
    <t>CONTRATAR LAS OBRAS DE MANTENIMIENTO TERMINAL DE PASAJEROS AEROPUERTO VARGAS SANTOS DE TAME</t>
  </si>
  <si>
    <t>MANTENIMIENTO CUARTELES DE BOMBEROS</t>
  </si>
  <si>
    <t>CONTRATAR LAS OBRAS DE MANTENIMIENTO DE CUARTEL BOMBEROS AEROPUERTO YARIGUIES DE BARRANCABERMEJA</t>
  </si>
  <si>
    <t>CONTRATAR LAS OBRAS DE MANTENIMIENTO DE CUARTEL BOMBEROS AEROPUERTO SANTIAGO PEREZ QUIROZ DE ARAUCA</t>
  </si>
  <si>
    <t>CONTRATAR LAS OBRAS DE MANTENIMIENTO DE CUARTEL BOMBEROS AEROPUERTO CAMILO DAZA DE CUCUTA</t>
  </si>
  <si>
    <t>INTERVENTORIAS.</t>
  </si>
  <si>
    <t>CONTRATAR LABORES DE SEGUIMIENTO Y VIGILANCIA A PROYECTOS DE INFRAESTRUCTURA AEROPORTUARIA EN AEROPUERTOS REGIONAL NORTE DE SANTANDER</t>
  </si>
  <si>
    <t>CONTRATAR LOS SERVICIOS DE OPERACIÓN A LOS SISTEMAS DE TRATAMIENTO DE AGUAS EN EL AEROPUERTO AGUAS CLARAS DE OCAÑA</t>
  </si>
  <si>
    <t>CONTRATAR LOS SERVICIOS DE OPERACIÓN A LOS SISTEMAS DE TRATAMIENTO DE AGUAS EN LOS AEROPUERTOS DE ARAUCA</t>
  </si>
  <si>
    <t>CONTRATAR LAS OBRAS DE MANTENIMIENTO INSTALACIONES SISTEMAS DE TRATAMIENTO DE AGUAS AEROPUERTO AGUAS CLARAS DE OCAÑA</t>
  </si>
  <si>
    <t>MANTENIMIENTO DE SISTEMAS DE MANEJO Y DISPOSICION DE RESIDUOS SOLIDOS</t>
  </si>
  <si>
    <t>MANTENIMIENTO SISTEMAS DE TRATAMIENTO DE RESIDUOS SOLIDOS AEROPUERTOS DE LA REGIONAL</t>
  </si>
  <si>
    <t>MANTENIMIENTO DE INSTALACIONES HIDRAULICAS Y SANITARIAS</t>
  </si>
  <si>
    <t>MANTENIMIENTO INSTALACIONES HIDRAULICAS Y SANITARIAS EN AEROPUERTOS DE LA REGIONAL</t>
  </si>
  <si>
    <t>CONTRATAR OBRAS DE CONTROL GEOTECNICO EN EL AEROPUERTO CAMILO DAZA DE CUCUTA</t>
  </si>
  <si>
    <t>CONTRATAR LA PODA DE ARBOLES Y RETIRO DE ESCOMBROS SOBRE COSTADOS LATERALES PISTA EN AEROPUERTOS DEPARTAMENTO DE ARAUCA</t>
  </si>
  <si>
    <t>PROGRAMAS DE MEJORAMIENTO PARA LA PREVENCION DEL PELIGRO AVIARIO</t>
  </si>
  <si>
    <t>PROGRAMAS DE MEJORAMIENTO PARA LA PREVENCION DEL PELIGRO AVIARIO AEROP CUCUTA</t>
  </si>
  <si>
    <t>PROGRAMAS DE MEJORAMIENTO PARA LA PREVENCION DEL PELIGRO AVIARIO AEROP BUCARAMANGA</t>
  </si>
  <si>
    <t>PROGRAMAS DE MEJORAMIENTO PARA LA PREVENCION DEL PELIGRO AVIARIO AEROP ARAUCA</t>
  </si>
  <si>
    <t>PROGRAMAS DE MEJORAMIENTO PARA LA PREVENCION DEL PELIGRO AVIARIO AEROP BARRANCABERMEJA</t>
  </si>
  <si>
    <t>CONTRATAR LA ADQUISICION DE CANECAS PARA EL MANEJO DE RESIDUOS SOLIDOS EN LOS AEROPUERTOS DE OCAÑA, ARAUCA, SARAVENA Y TAME</t>
  </si>
  <si>
    <t xml:space="preserve">MEJORAMIENTO Y RECUPERACION ESTACIONES DE RADIOAYUDAS A NIVEL NACIONAL </t>
  </si>
  <si>
    <t>TOLEDO</t>
  </si>
  <si>
    <t>CONTRATAR EL MANTENIMIENTO GENERAL INFRAESTRUCTURA ESTACION CERRO LA VIRGEN- MUNICIPIO DE TOLEDO- NORTE DE SANTANDER</t>
  </si>
  <si>
    <t>CHINACOTA</t>
  </si>
  <si>
    <t>CONTRATAR LAS OBRAS DE MANTENIMIENTO GENERAL INFRAESTRUCTURA ESTACION CERRO MEJUE - MUNICIPIO DE CHINACOTA - NORTE DE SANTANDER</t>
  </si>
  <si>
    <t>CONTRATAR LAS OBRAS DE MANTENIMIENTO GENERAL INFRAESTRUCTURA ESTACIONES AERONAUTICAS LOCALIZADAS EN EL AEROPUERTO LOS COLONIZADORES DE SARAVENA</t>
  </si>
  <si>
    <t>MEJORAMIENTO VIAS DE ACCESO ESTACIONES AERONAUTICAS</t>
  </si>
  <si>
    <t>ABREGO</t>
  </si>
  <si>
    <t>CONTRATAR LAS OBRAS DE MANTENIMIENTO VIA DE ACCESO ESTACION CERRO TASAJERO ¿ MUNICIPIO DE CUCUTA- NORTE DE SANTANDER</t>
  </si>
  <si>
    <t>CONTRATAR LAS OBRAS DE MANTENIMIENTO VIA DE ACCESO ESTACION CERRO JURISDICCIONES ¿ MUNICIPIO DE ABREGO - NORTE DE SANTANDER</t>
  </si>
  <si>
    <t>LEVANTAMIENTO DE INFORMACION PARA ESTUDIOS, PLANES Y PROGRAMAS AMBIENTALES</t>
  </si>
  <si>
    <t>ELABORACION DE PROGRAMAS DE MONITOREO DE CALIDAD DE AGUAS, AIRE, RUIDO Y MANEJO DE RESIDUOS SOLIDOS</t>
  </si>
  <si>
    <t>CONTRATAR EL MONITOREO DE CALIDAD DE AGUAS EN EL AEROPUERTO VARGAS SANTOS Y AEROPUERTO LOS COLONIZADORES</t>
  </si>
  <si>
    <t>ESTUDIOS AMBIENTALES</t>
  </si>
  <si>
    <t>CONTRATAR EL ESTABLECIMIENTO DE LA FICHAS AMBIENTALES PARA LOS AEROPUERTOS DE TAME Y SARAVENA</t>
  </si>
  <si>
    <t>CONTRATAR EL MANTENIMIENTO DE LAS INSTALACIONES DE APOYO ADMINISTRATIVO SAR AEROP CAMILO DAZA DE CUCUTA</t>
  </si>
  <si>
    <t>CONTRATAR EL MANTENIMIENTO DE LAS INSTALACIONES ADMINISTRATIVAS DIRECCION REGIONAL NORTE DE SANTANDER</t>
  </si>
  <si>
    <t>CONTRATAR EL MANTENIMIENTO DE LAS INSTALACIONES ADMINISTRATIVAS EN EL AEROPUERTO AGUS CLARAS DE OCAÑA</t>
  </si>
  <si>
    <t>ADECUACION AREAS ADMINISTRATIVAS AEROPUERTO PALONEGRO</t>
  </si>
  <si>
    <t>ADECUACION AREAS ADMINISTRATIVAS AEROP LOS COLONIZADORES</t>
  </si>
  <si>
    <t>ADECUACION AREAS ADMINISTRATIVAS AEROP YARIGUIES</t>
  </si>
  <si>
    <t>ADECUACION AREAS ADMINISTRATIVAS AEROP ARAUCA</t>
  </si>
  <si>
    <t>ADECUACION AREAS ADMINISTRATIVAS AEROP TAME</t>
  </si>
  <si>
    <t>ADQUISICION EQUIPOS Y REPUESTOS PARA SISTEMAS AEROPORTUARIOS NIVEL NACIONAL</t>
  </si>
  <si>
    <t xml:space="preserve">ADQUISICION, INSTALACION , CALIBRACION, PRUEBA Y PUESTA EN SERVICIO DE EQUIPOS PARA LOS SISTEMAS AEROPORTUARIOS </t>
  </si>
  <si>
    <t>MANTENIMIENTO Y CONSERVACION DE EQUIPOS Y SISTEMAS AEROPORTUARIOS A NIVEL NACIONAL</t>
  </si>
  <si>
    <t>CONTRATAR EL MANTENIMIENTO PREVENTIVO Y CORRECTIVO DE LOS SISTEMAS DE AIRES ACONDICIONADOS DE LA REGIONAL NORTE DE SANTANDER</t>
  </si>
  <si>
    <t>CONTRATAR EL MANTENIMIENTO CORRECTIVO AL ASCENSOR MARCA OTIS DE LA TORRE CONTROL DEL AEROPUERTO DE BUCARAMANGA</t>
  </si>
  <si>
    <t xml:space="preserve">REPUESTOS PARA EL MANTENIMIENTO MECANICO (MONTA-CARGAS, BANDAS DE EQUIPAJES, MONOPLANARES, MESA DE AFORO, BOMBAS SUMERGIBLES, BOMBAS DE GASOLINA, ETC.) </t>
  </si>
  <si>
    <t>MANTENIMIENTO DE LA BANDA TRANSPORTADORA  DE EQUIPAJES DEL AEROPUERTO SANTIAGO PEREZ QUIROZ DE ARAUCA</t>
  </si>
  <si>
    <t>ADQUISICION MATERIALES E INSUMOS AEROPORTUARIOS</t>
  </si>
  <si>
    <t>CONTRATAR LA ADQUISICION DE LLANTAS PARA EL VEHICULO DE SOPORTE TECNICO DEL AEROPUERTO PALONEGRO DE BUCARAMANGA.</t>
  </si>
  <si>
    <t>MANTENIMIENTO, CONSERVACION Y ACTUALIZACION DE LOS SISTEMAS DE RADAR</t>
  </si>
  <si>
    <t>MANTENIMIENTO, CONSERVACION Y ACTUALIZACION DE LOS SISTEMAS DE COMUNICACIONES</t>
  </si>
  <si>
    <t>CONTRATAR EL MANTENIMIENTO Y CONSERVACION DE LAS MICROONDAS STRATEX DE LA REGIONAL NORTE DE SANTANDER, MEDIANTE SUMINISTRO DE REPUESTOS REQUERIDOS</t>
  </si>
  <si>
    <t>CONTRATAR LA ACTUALIZACION DE ANALISIS DE CARGAS Y ESTADO ESTRUCTURAL PARA EL MANTENIMIENTO PREVENTIVO REQUERIDO A LAS TORRES DE COMUNICACIONES EN LOS AEROPUERTOS DE ARAUCA Y SARAVENA.</t>
  </si>
  <si>
    <t>MANTENIMIENTO, CONSERVACION Y ACTUALIZACION DE LOS SISTEMAS DE RADIOAYUDAS</t>
  </si>
  <si>
    <t>CONTRATAR EL MANTENIMIENTO Y CONSERVACION DE LAS RADIOAYUDAS ASSI / AMS /SELEX DE LA REGIONAL NORTE DE SANTANDER MEDIANTE SUMINISTRO DE REPUESTOS REQUERIDOS.</t>
  </si>
  <si>
    <t xml:space="preserve">MANTENIMIENTO, CONSERVACION Y ACTUALIZACION DE LOS SISTEMAS DE ENERGIA Y SISTEMAS COMPLEMENTARIOS </t>
  </si>
  <si>
    <t>CONTRATAR LA ACTUALIZACION DE ACOMETIDAS ELECTRICAS PARA CIRCUITOS ELECTRICOS DE PISTA PARA LOS AEROPUERTOS TAME, SARAVENA Y CUCUTA.</t>
  </si>
  <si>
    <t xml:space="preserve"> CONTRATAR EL MANTENIMIENTO Y REFORZAMIENTO DE SISTEMAS DE TIERRA EN LOS AEROPUERTOS DE ARAUCA, TAME Y SARAVENA</t>
  </si>
  <si>
    <t>CONTRATAR LA ACTUALIZACION DEL SISTEMA DE PROTECCION CONTRARAYOS, MEDIANTE SISTEMA DESIONIZANTE DE CARGAS ELECTROSTATICA, EN LA ESTACION CERRO EL PICACHO.</t>
  </si>
  <si>
    <t xml:space="preserve"> CONTRATAR LA ACTUALIZACION DEL SISTEMA DE PROTECCIÓN CONTRARAYOS, MEDIANTE SISTEMA DESIONIZANTE DE CARGAS ELECTROSTATICAS, EN LA ESTACION CERRO TASAJERO.</t>
  </si>
  <si>
    <t xml:space="preserve"> CONTRATAR LA ACTUALIZACION DEL SISTEMA DE PROTECCION CONTRARAYOS, MEDIANTE SISTEMA DESIONIZANTE DE CARGAS ELECTROSTATICAS, EN LA TORRE DE COMUNICACIONES DEL AEROPUERTO DE ARAUCA.</t>
  </si>
  <si>
    <t xml:space="preserve"> CONTRATAR LA ACTUALIZACION DEL SISTEMA DE PROTECCION CONTRARAYOS, MEDIANTE SISTEMA DESIONIZANTE DE CARGAS ELECTROSTATICAS, EN INMEDIACIONES DEL DVOR EN EL AEROPUERTO DE TAME.</t>
  </si>
  <si>
    <t xml:space="preserve"> CONTRATAR LA ACTUALIZACION DE LOS SISTEMAS DE PROTECCION CONTRA TRANSIENTES DE VOLTAJE PARA ESTACIONES DE LA REGIONAL NORTE DE SANTANDER MEDIANTE SUMINISTROS DE DPS . </t>
  </si>
  <si>
    <t>MANTENIMIENTO DE VEHICULO</t>
  </si>
  <si>
    <t>CONTRATAR EL MANTENIMIENTO A LOS VEHICULOS DE SOPORTE TECNICO Y DE LA REGIONAL EN EL AEROPUERTO CAMILO DAZA</t>
  </si>
  <si>
    <t>CONTRATAR EL MANTENIMIENTO DEL VEHICULO ASIGNADO A SOPORTE TECNICO PLACAS OJC 469 EN EL AEROPUERTO DE TAME.</t>
  </si>
  <si>
    <t>MANTENIMIENTO A LOS VEHICULOS ASIGNADOS A SOPORTE TECNICO Y A LA ADMINISTRACION DEL AEROPUERTO PALONEGRO DE BUCARAMANGA</t>
  </si>
  <si>
    <t>MANTENIMIENTO A LOS VEHICULOS ASIGNADOS A SOPORTE TECNICO Y A LA ADMINISTRACION DEL AEROPUERTO SANTIAGO PEREZ QUIROZ DE ARAUCA</t>
  </si>
  <si>
    <t>ADQUISICION DE COMBUSTIBLE</t>
  </si>
  <si>
    <t>CONTRATAR EL SUMINISTRO DE COMBUSTIBLE GASOLINA PARA LOS VEHICULOS DE SOPORTE TECNICO DEL AEROPUERTO PALONEGRO DE BUCARAMANGA</t>
  </si>
  <si>
    <t>CONTRATAR EL SUMINISTRO DE COMBUSTIBLE ACPM PARA LAS PLANTAS ELECTRICAS DE EMERGENCIA DE LA ESTACION CERRO EL PICACHO (PUESTO EN LA ESTACION CERRO EL PICACHO)</t>
  </si>
  <si>
    <t>CONTRATAR EL SUMINISTRO DE COMBUSTIBLE ACPM PARA LAS PLANTAS ELECTRICAS DE EMERGENCIA DE LA ESTACION MESA DE LOS SANTOS (PUESTO EN LA ESTACION MESA DE LOS SANTOS)</t>
  </si>
  <si>
    <t>CONTRATAR EL SUMINISTRO DE COMBUSTIBLE GASOLINA PARA EL VEHICULO PLACA OHK-097 Y MAQUINARIA DEL AEROPUERTO YARIGUIES DE BARRANCABERMEJA</t>
  </si>
  <si>
    <t>CONTRATAR EL SUMINISTRO DE COMBUSTIBLE BIOACEM B2 Y GASOLINA PARA LOS VEHICULOS Y MAQUINARIAS DEL AEROPUERTO CAMILO DAZA DE CUCUTA</t>
  </si>
  <si>
    <t>CONTRATAR EL SUMINISTRO DE COMBUSTIBLE ACPM PARA LAS PLANTAS ELECTRICAS DE EMERGENCIA DEL AEROPUERTO SANTIAGO PEREZ QUIROZ DE ARAUCA (PUESTO EN EL AEROPUERTO SANTIAGO PEREZ QUIROZ DE ARAUCA)</t>
  </si>
  <si>
    <t>CONTRATAR EL SUMINISTRO DE COMBUSTIBLE ACPM PARA LAS PLANTAS ELECTRICAS DE EMERGENCIA DEL AEROPUERTO LOS COLONIZADORES DE SARAVENA(PUESTO EN EL AEROPUERTO LOS COLONIZADORES DE SARAVENA)</t>
  </si>
  <si>
    <t>CONTRATAR EL SUMINISTRO DE COMBUSTIBLE GASOLINA CORRIENTE PARA EL VEHICULO PLACA OJG-160 DEL AEROPUERTO SANTIAGO PEREZ QUIROZ DE ARAUCA</t>
  </si>
  <si>
    <t xml:space="preserve">CONTRATAR EL SUMINISTRO DE COMBUSTIBLE ACPM PARA LAS PLANTAS ELECTRICAS DE EMERGENCIA DEL AEROPUERTO GABRIEL VARGAS SANTOS DE TAME(PUESTO EN EL AEROPUERTO GABRIEL VARGAS SANTOS DE TAME) </t>
  </si>
  <si>
    <t>CONTRATAR EL SUMINISTRO DE COMBUSTIBLE GASOLINA CORRIENTE PARA LOS VEHICULOS DEL AEROPUERTO GABRIEL VARGAS SANTOS DE TAME</t>
  </si>
  <si>
    <t>CONTRATAR EL SUMINISTRO DE COMBUSTIBLE ACPM PARA LAS PLANTAS ELECTRICAS DE EMERGENCIA DE LA ESTACION CERRO DE JURISDICCIONES (PUESTO EN LA ESTACION CERRO JURISDICCIONES)</t>
  </si>
  <si>
    <t xml:space="preserve">CONTRATAR EL SUMINISTRO DE COMBUSTIBLE ACPM PARA LAS PLANTAS ELECTRICAS DE EMERGENCIA DEL AEROPUERTO AGUAS CLARAS DE OCAÑA (PUESTO EN EL AEROPUERTO AGUAS CLARAS DE OCAÑA) </t>
  </si>
  <si>
    <t>GASTOS DE TRANSPORTE DE EQUIPOS, REPUESTOS, ACCESORIOS Y PERSONAL, NECESARIOS PARA REALIZAR LABORES DE MANTENIMIENTO Y/O INSTALACION DE SISTEMAS DE TELECOMUNICACIONES Y AYUDAS A LA NAVEGACION EREA</t>
  </si>
  <si>
    <t>SERVICIO DE TRANSPORTE DE PERSONAL TECNICO ENTRE JURISDICCIONES Y CUCUTA – OCAÑA</t>
  </si>
  <si>
    <t>SERVICIO DE TRANSPORTE DE EQUIPOS Y MATERIALES PARA MANTENIMIENTO ENTRE AEROPUERTOS DE LA REGIONAL</t>
  </si>
  <si>
    <t xml:space="preserve">CONTRATAR ADQUISICION DE REPUESTOS PARA EL MANTENIMIENTO DE  LOS SISTEMAS DE AYUDAS VISUALES DE LOS AEROPUERTOS DE LA REGIONAL </t>
  </si>
  <si>
    <t>ADQUISICION DE LUCES PARA EL SISTEMA DE AYUDAS VISUALES DEL AEROPUERTO YARIGUIES DE BARRANCABERMEJA.</t>
  </si>
  <si>
    <t>MANTENIMIENTO, CONSERVACIÓN Y ACTUALIZACIÓN DE LOS SISTEMAS DE
METEOROLOGÍA</t>
  </si>
  <si>
    <t>ADQUISICION DE EQUIPOS Y SERVICIOS MEDICOS PARA LAS SANIDADES AEROPORTUARIAS</t>
  </si>
  <si>
    <t>MANTENIMIENTO EQUIPOS MEDICOS.</t>
  </si>
  <si>
    <t>MANTENIMIENTO DE AMBULANCIAS.</t>
  </si>
  <si>
    <t>Adquisición de equipos de Protección de extinción de incendios y busqueda y rescate.</t>
  </si>
  <si>
    <t>ADQUISICIÓN DE ELEMENTOS PARA LA REALIZACION DE SIMULACROS SEI</t>
  </si>
  <si>
    <t>Mantenimiento y conservación de equipos de extincion de incendios y busqueda y rescate.</t>
  </si>
  <si>
    <t>CONTRATAR LA ADQUISICION DE ACPM PARA LA MAQUINA DE BOMBEROS DEL AEROPUERTO SANTIAGO PEREZ QUIROZ DE ARAUCA</t>
  </si>
  <si>
    <t>CONTRATAR LA ADQUISICION ACPM PARA LAS MAQUINAS DE BOMBEROS DEL AEROPUERTO YARIGUIES DE BARRANCABERMEJA.</t>
  </si>
  <si>
    <t>CONTRATAR LA ADQUISICION DE ACPM PARA LAS MAQUINAS DE BOMBEROS DEL AEROPUERTO PALONEGRO DE BUCARAMANGA.</t>
  </si>
  <si>
    <t>CONTRATAR LA ADQUISICION DE ACPM PARA LA MAQUINA DE BOMBEROS DEL AEROPUERTO VARGAS SANTOS DE TAME.</t>
  </si>
  <si>
    <t>CONTRATAR LA ADQUISICIÓN DE GASOLINA CORRIENTE PARA VEHICULO SAR DEL AEROPUERTO PALONEGRO DE BUCARAMANGA.</t>
  </si>
  <si>
    <t>S.O . ADQUISICION DE ELEMENTOS Y EQUIPOS DE PROTECCION PERSONAL.</t>
  </si>
  <si>
    <t>S.O - ADQUISICION DE EQUIPOS PARA EL DESARROLLO DE PROGRAMAS DE SALUD OCUPACIONAL.</t>
  </si>
  <si>
    <t>S.O - ADQUISICION DE EQUIPOS Y ELEMENTOS ERGONOMICOS</t>
  </si>
  <si>
    <t>PREPARACION PREPENSIONADOS - GRUPO FAMILIAR, SEMINARIOS, TALLERES, ETC.</t>
  </si>
  <si>
    <t>ADQUSICION DE PROGRAMAS DE INTERVENCION DE LAS CAMPAÑAS  EPIDEMIOLOGICAS</t>
  </si>
  <si>
    <t>SERVICIO DE ACONDICIONAMIENTO FISICO DEPORTIVO PARA LOS FUNCIONARIOS EN LAS INSTALACIONES DE LA ENTIDAD.</t>
  </si>
  <si>
    <t>ASISTENCIA TECNICA, DIVULGACION Y CAPACITACION A FUNCIONARIOS DEL ESTADO PARA APOYO A LA ADMINISTRACION DEL ESTADO.</t>
  </si>
  <si>
    <t>NOTA: ANEXAR EL PLAN DE INVERSIONES DEL PLAN DE NAVEGACIÓN AEREA EL CUAL DEBE SER COHERENTE CON LA INFORMACION QUE SE INCLUYE EN ESTE FORMATO</t>
  </si>
  <si>
    <t>ACTIVIDADES CUMPLIDAS</t>
  </si>
  <si>
    <t xml:space="preserve">ACTIVIDASDES PROGRAMADAS </t>
  </si>
  <si>
    <t>NOTA: SE REVISO DE CONFORMIDAD CON LO QUE EL AREA INFORMO, SE RECOMIENDA INDICAR LAS FECHA DE PROGRAMACION</t>
  </si>
  <si>
    <t>DIRECCIÓN REGIONAL AERONÁUTICA CUNDINAMARCA</t>
  </si>
  <si>
    <t>AERONAUTICA CIVIL
Cronogramas de Inversión
Dependencia: Oficina Centro de estudios de Ciencias Aeronáuticas</t>
  </si>
  <si>
    <t>DETALLE DE SEGUIMIENTO</t>
  </si>
  <si>
    <t>PROGRAMAS DE FORMACION, CAPACITACION, ACTUALIZACION Y ENTRENAMIENTO PARA LA SEGURIDAD AEREA Y OPERACIONAL Y PROGRAMAS DIRIGIDOS A FUNCIONARIOS DE LAS AREAS DE GESTION</t>
  </si>
  <si>
    <t>Auxilios de Viaje para Capacitación de Funcionarios</t>
  </si>
  <si>
    <t>Auxilios de Viaje para Capacitación de funcionarios</t>
  </si>
  <si>
    <t>Se maneja por Caja menor, Dirección Financiera</t>
  </si>
  <si>
    <t>Febrero a Diciembre</t>
  </si>
  <si>
    <t>Todo el año</t>
  </si>
  <si>
    <t>Contratación de docentes</t>
  </si>
  <si>
    <t>Contratación de docentes para el Centro de Estudios de Ciencias Aeronáuticas en la vigencia 2015 Nivel Central</t>
  </si>
  <si>
    <t>Se contrataron los docentes de acuerdo con la necesidad para la ejecución del PIC.</t>
  </si>
  <si>
    <t xml:space="preserve">Inscripción en el Programa Trainer Plus </t>
  </si>
  <si>
    <t>Marzo a Diciembre</t>
  </si>
  <si>
    <t xml:space="preserve">El pago se efectuará al finalizar el año </t>
  </si>
  <si>
    <t>Trámite Estudio IES para el CEA</t>
  </si>
  <si>
    <t>febrero a noviembre</t>
  </si>
  <si>
    <t>Noviembre - Diciembre</t>
  </si>
  <si>
    <t>El pago se efectuará cuando se entreguen los documentos para revisión al MEN</t>
  </si>
  <si>
    <t xml:space="preserve">Contratación de docentes para el Programa de Competencia Lingüística 2015 </t>
  </si>
  <si>
    <t>SIN RADICACION</t>
  </si>
  <si>
    <t>Ragional Antioquia</t>
  </si>
  <si>
    <t>Marzo de 2015</t>
  </si>
  <si>
    <t>Abril 13 de 2015</t>
  </si>
  <si>
    <t>Regional Atlántico</t>
  </si>
  <si>
    <t>Abril 09 de 2015</t>
  </si>
  <si>
    <t>Abril 10 de 2015</t>
  </si>
  <si>
    <t>Realización de Eventos de Capacitación</t>
  </si>
  <si>
    <t xml:space="preserve">Inscripción de funcionarios en cursos internacionales y nacionales y Contratación de 20 eventos de capacitación para la vigencia 2015 área de Gestión para los procesos de apoyo a la Gestión </t>
  </si>
  <si>
    <t>Febrero a Noviembre</t>
  </si>
  <si>
    <t>Se están adelantando los trámites administrativos de otros procesos según cronograma de las áreas</t>
  </si>
  <si>
    <t>PROGRAMAS DE BIENESTAR UNIVERSITARIO</t>
  </si>
  <si>
    <t>Realización y financiación de actividades de Bienestar univeritario</t>
  </si>
  <si>
    <t>Taller 1 "Prevención de consumo de drogas y alcohol" para estudisntes, docentes y coordinadores</t>
  </si>
  <si>
    <t>Taller 2 "Prevención de consumo de drogas y alcohol" para estudisntes, docentes y coordinadores</t>
  </si>
  <si>
    <t>Taller 3 "Prevención de consumo de drogas y alcohol" para estudisntes, docentes y coordinadores</t>
  </si>
  <si>
    <t>Agosto</t>
  </si>
  <si>
    <t>Octubre</t>
  </si>
  <si>
    <t>no se va hacer</t>
  </si>
  <si>
    <t>Taller Clima laboral, funcionarios, particulares que prestan servicios, docentes y estudiantes</t>
  </si>
  <si>
    <t>Realización Semana cultural 2015</t>
  </si>
  <si>
    <t>solo se hara un dia se radico el 31/03</t>
  </si>
  <si>
    <t xml:space="preserve">Adquisicón elementos de consumo gimnasio. (Balones, mallas, raquetas, bolas ping pong, otros) </t>
  </si>
  <si>
    <t>Abril - Mayo</t>
  </si>
  <si>
    <t>Mantenimiento y adecuación de aulas, laboratorios, biblioteca, auditorio y demás instalaciones del CEA</t>
  </si>
  <si>
    <t>Contratación de estudios previos y diseños para la adecuación de piso y redes de datos, audio y video del auditorio</t>
  </si>
  <si>
    <t>Adecuación Piso Auditorio</t>
  </si>
  <si>
    <t xml:space="preserve">Marzo </t>
  </si>
  <si>
    <t>Mantenimiento Preventivo equipos electrónicos del Auditorio</t>
  </si>
  <si>
    <t>Adecuación de redes de datos, video, audio del Auditoroio (Cambio de cableado, construcción de canaletas, tableros de control, amplificadores de señal, etc.)</t>
  </si>
  <si>
    <t>Proyecto señalización rutas de evacuación</t>
  </si>
  <si>
    <t>Mantenimiento y adecuación, oficinas, laboratorios y demás dependencias de la Oficina Centro de Estudios</t>
  </si>
  <si>
    <t>Nota: Pueden ser varios contratos</t>
  </si>
  <si>
    <t>Adecuación de acceso para minusválidos al CEA</t>
  </si>
  <si>
    <t>Adquisición de materiales, elementos suministros y equipos para la enseñanza y laboratorios</t>
  </si>
  <si>
    <t>Televisores - Tableros interactivos fase II para aulas, laboratorios y Auditorio CEA</t>
  </si>
  <si>
    <t xml:space="preserve">Adquisición de 200 sillas para Auditorio, 150 sillas brazo derecho, 60 sillas brazo izquierdo para aulas, 3 juegos de muebles para salas de juntas y salas de espera, etc. </t>
  </si>
  <si>
    <t>preparandose el proyecto</t>
  </si>
  <si>
    <t>Adquisición de equipo de Sonido Alterno para eventos en exteriores</t>
  </si>
  <si>
    <t>Adquisición aula digital interactiva para regionales 25 puestos</t>
  </si>
  <si>
    <t>Adquisición de equipos y accesorios para audiovisuales.</t>
  </si>
  <si>
    <t>Diseño de Plataforma de Educación Virtual</t>
  </si>
  <si>
    <t>Materiales y suministros, impresión y publicaciones propios de la actividad académica</t>
  </si>
  <si>
    <t>Nota: Dependiendo la necesidad, pueden ser varios contratos y objetos.</t>
  </si>
  <si>
    <t>Mantenimiento preventivo y correctivo de equipos y elementos propios para el desarrollo de la enseñanza</t>
  </si>
  <si>
    <t xml:space="preserve">ACTIVIDADES </t>
  </si>
  <si>
    <t>ACTIVIDADES  PROGRAMADAS PARA MARZO</t>
  </si>
  <si>
    <t xml:space="preserve">CUMPLIDAS </t>
  </si>
  <si>
    <t>NO CUMPLIDAS</t>
  </si>
  <si>
    <t xml:space="preserve">AVANCE </t>
  </si>
  <si>
    <t xml:space="preserve">Visita al área adquirir </t>
  </si>
  <si>
    <t xml:space="preserve">Elaboración del plano </t>
  </si>
  <si>
    <t xml:space="preserve">Recopilación y Solicitud de documentos de titulación  </t>
  </si>
  <si>
    <t>Estudio de Titulación</t>
  </si>
  <si>
    <t xml:space="preserve">Solicitud al IGAC del  avalúo </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</si>
  <si>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</si>
  <si>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</si>
  <si>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</si>
  <si>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</si>
  <si>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</si>
  <si>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ADQUISICION TERRENOS PARA CONSTRUCCION Y AMPLIACION DE AEROPUERTOS.</t>
  </si>
  <si>
    <t>AEROPUERTO YOPAL</t>
  </si>
  <si>
    <t>AERPUERTO POPAYAN</t>
  </si>
  <si>
    <t>ESTUDIOS DISEÑOS AVALUOS Y PERITAJES</t>
  </si>
  <si>
    <t>Seguimiento a Marzo 2015</t>
  </si>
  <si>
    <t xml:space="preserve">Se consideró incluir como servicio de Puestos de trabajo en el proceso de Mesa de Servicios, los costos obtenidos fueron bastante altos y se retomó la aopción de realizar la adquisición de equipos acostumbrada. No obstante esta actividad generó retrasos.Se ajustaron especificaciones y se realizan estudios de mercado. </t>
  </si>
  <si>
    <r>
      <t xml:space="preserve">Impresoras Multifuncionales
Cambios de la totalidad de las impresoras Lexmark T644 ( son 90 impresoras en producción en todo el país que requieren cambio) + las impresoras dejadas de adquirir este año por quedar desierto el proceso.  </t>
    </r>
    <r>
      <rPr>
        <sz val="10"/>
        <color indexed="10"/>
        <rFont val="Calibri"/>
        <family val="2"/>
      </rPr>
      <t>SE HARA POR LA ACTIVIDAD DE SOLUCIONES INFORMATICAS INTEGRADO A LA  MESA DE SERVICIOS. VF HASTA 2018</t>
    </r>
  </si>
  <si>
    <t>Se definen especificaciones, para realizar estudio de mercado y costos.</t>
  </si>
  <si>
    <t>Se definen especificaciones, se realizan estudios previos y de mercado, se tiene CDP de fecha 27 de marzo de 2015 y se radica proceso.</t>
  </si>
  <si>
    <t>Se definen especificaciones, se realizan estudios previos y de mercado, se tsolicitará CDP en Mayo de 2015 y se radica proceso.</t>
  </si>
  <si>
    <t xml:space="preserve">Se adelanta definición de especificaciones. </t>
  </si>
  <si>
    <t>Se adelantan actividades para definir especificaciones técnicas.</t>
  </si>
  <si>
    <t>Se definen especificaciones, se realizan estudios previos y de mercado, se tiene CDP de fecha 11 de marzo de 2015 y se radica proceso.</t>
  </si>
  <si>
    <t>Se adelanta trámite de VF para ser incluido dentro del proceso de Mesa de Servicio</t>
  </si>
  <si>
    <t>Se adelantan actividades para conformar el Equipo del Proyecto conformado por funcionarios de las Secretarías de  Sistemas Operacionales y Seguridad Aérea junto con Informática. No ha sido posible contar con personal asignado al proyecto por parte de SSO.  Existen dificultades para lo relacionado con el tema SMS</t>
  </si>
  <si>
    <r>
      <t xml:space="preserve">Migración de la solucion implementada para la Aerocivil bajo Google Earth Enterprise Fusion y Server a la plataforma Google Maps Engine </t>
    </r>
    <r>
      <rPr>
        <i/>
        <sz val="10"/>
        <color indexed="10"/>
        <rFont val="Calibri"/>
        <family val="2"/>
      </rPr>
      <t xml:space="preserve"> Desfinanciada</t>
    </r>
  </si>
  <si>
    <t>Se adelantan actividades para definir especificaciones técnicas y de costos</t>
  </si>
  <si>
    <t>Proceso realizado mediante AMP de Colombia Compra Eficiente.</t>
  </si>
  <si>
    <t>Valor del contrato menor al valor inicial asignado.  El valor sobrante se traslado a la mesa de servicios para completar el ppto requerido.  Contrato en ejecución</t>
  </si>
  <si>
    <t>Contrato firmado y en ejecución</t>
  </si>
  <si>
    <t>SEGUIMIENTO CORTE 31 DE MARZO/2015</t>
  </si>
  <si>
    <t>No aplica,  el  seguimiento a partir de ABRIL EN COTIZACION</t>
  </si>
  <si>
    <t>No aplica,  el  seguimiento a partir de abril EN COTIZACION</t>
  </si>
  <si>
    <t>Si</t>
  </si>
  <si>
    <t>Esta en proceso de adjudicacion.</t>
  </si>
  <si>
    <t>No aplica el  seguimiento a partir de ABRIL</t>
  </si>
  <si>
    <t>No aplica el  seguimiento a partir de abril</t>
  </si>
  <si>
    <t>Se encuentra en proceso de contratación No 15000069 OI, en el momento se encuentra en manfestación de interes de participar.</t>
  </si>
  <si>
    <t>Se encuentra en proceso de contratación No 15000068 OI, en el momento se encuentra en manfestación de interes de participar.</t>
  </si>
  <si>
    <t>No aplica el  seguimiento a partir de mayo</t>
  </si>
  <si>
    <t>Se encuentra en proceso de contratación No 15000060 OI, en el momento se encuentra en publicación de borredor de pliegos.</t>
  </si>
  <si>
    <t>Se encuentra en proceso de contratación No 15000057 OI, en el momento se encuentra en publicación de borredor de pliegos.</t>
  </si>
  <si>
    <t>Alberto Jaramillo Sanchez de Otú - Remedios - Antioquia</t>
  </si>
  <si>
    <t>Mantenimiento de la pista del aeropuerto Alberto Jaramillo Sanchez de Otú - Remedios - Antioquia</t>
  </si>
  <si>
    <t>Mantenimiento de la pista del aeropuerto Reyes Murillo de Nuqui - Chocó</t>
  </si>
  <si>
    <t>Mantenimiento de la pista del aeropuerto Gustavo Rojas Pinilla de Cimitarra - Santander</t>
  </si>
  <si>
    <t>Se adjudico y se esta legalizando el contrato No 15000090 OH, para poder dar inicio del contrato.</t>
  </si>
  <si>
    <t>Se adjudico y se esta solicitando RP y el contrato, para poder dar inicio del contrato.</t>
  </si>
  <si>
    <t>Se adjudico y se esta legalizando el contrato No 15000089 OH, para poder dar inicio del contrato.</t>
  </si>
  <si>
    <t>Se adjudico y se esta legalizando el contrato No 15000088 OH, para poder dar inicio del contrato.</t>
  </si>
  <si>
    <t>No aplica el  seguimiento a partir de junio</t>
  </si>
  <si>
    <t>No aplica el  seguimiento a partir de julio</t>
  </si>
  <si>
    <t>SEGUIMIENTO CORTE 31 DE MARZO</t>
  </si>
  <si>
    <t>ESTA EN EJECUCION</t>
  </si>
  <si>
    <t>No aplica,  el  seguimiento a partir de MAYO</t>
  </si>
  <si>
    <t>No aplica,  el  seguimiento a partir de ABRIL</t>
  </si>
  <si>
    <t>No aplica,  el  seguimiento a partir de JUNIO</t>
  </si>
  <si>
    <t>No aplica,  el  seguimiento a partir de abril, EN COTIZACION</t>
  </si>
  <si>
    <t>No aplica,  el  seguimiento a partir de mayo,  EN COTIZACION</t>
  </si>
  <si>
    <t>EN EJECUCION DEL CONTRATO</t>
  </si>
  <si>
    <t>No aplica,  el  seguimiento a partir de ABRIL,  EN COTIZACION</t>
  </si>
  <si>
    <t>SE DECLARO DESIERTA, DE NUEVO EN PROCESO DE PUBLICACION PAGINA WEB</t>
  </si>
  <si>
    <t>No aplica,  el  seguimiento a partir de JUNIO,  EN COTIZACION</t>
  </si>
  <si>
    <t>No aplica,  el  seguimiento a partir de JULIO,  EN COTIZACION</t>
  </si>
  <si>
    <t>No aplica,  el  seguimiento a partir de abril, EN PAGINA WEB</t>
  </si>
  <si>
    <t>ESTABA PUBLICADA EN PAGINA WEB, SELECCIÓN ABREVIADA</t>
  </si>
  <si>
    <t>ESTA PARA PROCESO DE PAGO AL PROVEEDOR</t>
  </si>
  <si>
    <t>No aplica,  el  seguimiento a partir de ABRIL,  EN PUBLICACION</t>
  </si>
  <si>
    <t>PROCESO DE EJECUCION DEL CONTRATO</t>
  </si>
  <si>
    <t>PROCESO DE PUBLICACION</t>
  </si>
  <si>
    <t>PROCESO DE PUBLICACION PAGINA WEB</t>
  </si>
  <si>
    <t>No aplica,  el  seguimiento a partir de AGOSTO,  EN COTIZACION</t>
  </si>
  <si>
    <t>No aplica,  el  seguimiento a partir de ABRIL,  EN COTIZACIONES</t>
  </si>
  <si>
    <t>PROCESO DE OE PUBLICACION EN PAGINA WEB</t>
  </si>
  <si>
    <t>PROCESO DE EJECUCION DE LIQUIDACION</t>
  </si>
  <si>
    <t>No aplica,  el  seguimiento a partir de MAYO,  EN COTIZACIONES</t>
  </si>
  <si>
    <t>RP  -  En Contratación para publicar</t>
  </si>
  <si>
    <t>PREPARACION PREPENSIONADOS</t>
  </si>
  <si>
    <t>Contratar la capacitación de funcionarios prepensionados de la Regional Antioquia</t>
  </si>
  <si>
    <t>ACTIVIDADES  PROGRAMADAS</t>
  </si>
  <si>
    <t xml:space="preserve">AVANCE DE CUMPLIMIENTO A MARZO 2015 </t>
  </si>
  <si>
    <t>TOTAL AVANCE A MARZO 2015</t>
  </si>
  <si>
    <t>SEGUIMIENTO A JUNIO 30 DE 2015</t>
  </si>
  <si>
    <t>CUMPLIMIENTO A 30 DE JUNIO DE 2015</t>
  </si>
  <si>
    <t>CRONOGRAMAS DE  INVERSION  2015</t>
  </si>
  <si>
    <t xml:space="preserve">AVANCE A JUNIO 2015 </t>
  </si>
  <si>
    <t>AERONAUTICA CIVIL
Cronogramas de Inversión
Dependencia:   DIRECCION DE INFORMATICA</t>
  </si>
  <si>
    <t>OBSERVACIONES A JUNIO 30 DE 2015</t>
  </si>
  <si>
    <t>AERONAUTICA CIVIL
Cronogramas de Inversión
Dependencia: Regional Atlantico</t>
  </si>
  <si>
    <t>SE TRASLADO PARA CURSOS DEPORTIVOS</t>
  </si>
  <si>
    <t>SEGUIMIENTO A DICIEMBRE 30 DE 2015</t>
  </si>
  <si>
    <t xml:space="preserve">AVANCE A DICIEMBRE  2015 </t>
  </si>
  <si>
    <t>SE TRASLADO $5.439.093 para el rubro 32060800100000101</t>
  </si>
  <si>
    <t>SE REALIZO TRASLADO  DE $6.112.000 para el rubro 32060800100000101</t>
  </si>
  <si>
    <t>SE TRASLADO $35.674.155 para el rubro 32060800100000101</t>
  </si>
  <si>
    <t>% OBLIGACION</t>
  </si>
  <si>
    <t>% COMPROMISO</t>
  </si>
  <si>
    <t>Dependencia: Regional Antioquia - Of Desarrollo aeroportuario</t>
  </si>
  <si>
    <t>SEGUIMIENTO CORTE 30 DE JUNIO/2015</t>
  </si>
  <si>
    <t>SEGUIMIENTO CORTE 30 DE SEPTIEMBRE/2015</t>
  </si>
  <si>
    <t>SEGUIMIENTO CORTE 31 DE DICIEMBRE/2015</t>
  </si>
  <si>
    <t>Esta para publicar</t>
  </si>
  <si>
    <t>esta  en pagina web</t>
  </si>
  <si>
    <t>PAGADO</t>
  </si>
  <si>
    <t>LEGALIZACION</t>
  </si>
  <si>
    <t>PROCESO DE ADJUDICACION</t>
  </si>
  <si>
    <t>PROCESO DE PAGO</t>
  </si>
  <si>
    <t>IS</t>
  </si>
  <si>
    <t>Adjudicado legalizacion de contrato</t>
  </si>
  <si>
    <t>En ejecución</t>
  </si>
  <si>
    <t>Ejecutado</t>
  </si>
  <si>
    <t>En proceso de liquidación</t>
  </si>
  <si>
    <t xml:space="preserve">Esta publicado, </t>
  </si>
  <si>
    <t>En prcoeso de liquidación</t>
  </si>
  <si>
    <t>Decrementar</t>
  </si>
  <si>
    <t>Decrementar y traladar</t>
  </si>
  <si>
    <t>En Ejecución</t>
  </si>
  <si>
    <t>Adición Mantenimiento de la pista del aeropuerto Reyes Murillo de Nuqui - Chocó</t>
  </si>
  <si>
    <t>En ejecucion</t>
  </si>
  <si>
    <t>El Caraño de Quibdó - Chocó</t>
  </si>
  <si>
    <t>Mantenimiento de la torre de control del aeropuerto El Caraño de Quibdó - Chocó</t>
  </si>
  <si>
    <t>Mantenimiento de la torre de control del aeropuerto Antonio Roldan Betancur de Carepa - Antioquia</t>
  </si>
  <si>
    <t>Para publicar</t>
  </si>
  <si>
    <t>Rionegro - Antioquia, Bahía Solano - Chocó, Condoto  - Chocó, Nuqui  - Chocó y Otú  - Antioquia</t>
  </si>
  <si>
    <t>Mantenimiento de la torre de control de los aeropuertos Rionegro - Antioquia, Bahía Solano - Chocó, Condoto  - Chocó, Nuqui  - Chocó y Otú  - Antioquia</t>
  </si>
  <si>
    <t>Los Garzones de Monteria - Córdoba</t>
  </si>
  <si>
    <t>Mantenimiento de la torre de control del aeropuerto Los Garzones de Monteria - Córdoba</t>
  </si>
  <si>
    <t>Diciembre</t>
  </si>
  <si>
    <t>En proceso de contratación 15000246 OI</t>
  </si>
  <si>
    <t>El Rio de Amalfi - Antioquia y Alí Piedrahita de Urrao - Antioquia</t>
  </si>
  <si>
    <t>Mantenimiento del terminal de los aeropuertos de El Rio de Amalfi - Antioquia y Alí Piedrahita de Urrao - Antioquia</t>
  </si>
  <si>
    <t>Mantenimiento del terminal del aeropuerto de Reyes Murillo de Nuqui - Chocó</t>
  </si>
  <si>
    <t>Se declaro desierto. Se inicio nuevamente la contratación 15000191 A OI</t>
  </si>
  <si>
    <t>Morela de Puerto Berrio - Antioquia</t>
  </si>
  <si>
    <t>Mantenimiento del terminal del aeropuerto de Morela de Puerto Berrio - Antioquia</t>
  </si>
  <si>
    <t>Mantenimiento del terminal del aeropuerto de Morela de Mandinga de Condoto - Chocó</t>
  </si>
  <si>
    <t>Alberto Jaramillo Sanchez de Otú – Remedios - Antioquia y Gustavo Rojas Pinilla de Cimitarra - Santander</t>
  </si>
  <si>
    <t>Mantenimiento del terminal de los aeropuertos de Alberto Jaramillo Sanchez de Otú – Remedios - Antioquia y Gustavo Rojas Pinilla de Cimitarra - Santander</t>
  </si>
  <si>
    <t>Enproceso de publicación</t>
  </si>
  <si>
    <t>No</t>
  </si>
  <si>
    <t>Nivel Central se llevo los recursos.</t>
  </si>
  <si>
    <t>Decrementar y trasladar</t>
  </si>
  <si>
    <t>Mantenimiento de las instalaciones administrativas de la Aerocivil en el aeropuerto José María Córdova de Rionegro y su adición.</t>
  </si>
  <si>
    <t>No aplica el  seguimiento a partir de julio esta en proceso de estudios previos</t>
  </si>
  <si>
    <t>Mantenimiento de las instalaciones administrativas de la Aerocivil en el aeropuerto Mandinga de Condoto - Chocó</t>
  </si>
  <si>
    <t>Mantenimiento de las instalaciones administrativas de la Aerocivil en el aeropuerto Mandinga de Olaya Herrera de Medellín - Antioquia</t>
  </si>
  <si>
    <t>En proceso de plublicación</t>
  </si>
  <si>
    <t>SEGUIMIENTO CORTE 31 DICIEMBRE /2015</t>
  </si>
  <si>
    <t xml:space="preserve">CUMPLIMIENTO </t>
  </si>
  <si>
    <t>Se cancelo el total del contrato a la empresa  Bioambiente Ingenieria S.A.S$34.325.225,00</t>
  </si>
  <si>
    <t>Ejecutado y pagado</t>
  </si>
  <si>
    <t>PAG WEB</t>
  </si>
  <si>
    <t>Proceso de pago  del  total del contrato a la empresa  Bioambiente Ingenieria S.A.S por $12.934.000,00-.</t>
  </si>
  <si>
    <t>SE HIZO EL TRASLADO PRESUPUESTAL AL RUBRO DE LOS SISTEMAS DE TRATAMIENTO DE AGUAS</t>
  </si>
  <si>
    <t>Se hizo el traslado  presupuestal al Rubro de los sistemas de Tratamiento de agua por $10.000.000,00</t>
  </si>
  <si>
    <t>PROCESO DE ADJUDICACIÓN</t>
  </si>
  <si>
    <t>Proceso de pago  del  total del contrato a la empresa  Construyendo Ambiente  S.A.S por $22.698.320..  Se desasignaron $17.301.680,00 en el mes de septiembre.</t>
  </si>
  <si>
    <t xml:space="preserve">Proceso de pago  del  total del contrato a la empresa  Construyendo Ambiente  S.A.S por $9.918.000,00.  </t>
  </si>
  <si>
    <t>Proceso pagado a la empresa Inversiones y Representaciones Dinamix L $4.774.000,00</t>
  </si>
  <si>
    <t xml:space="preserve"> EJECUCION</t>
  </si>
  <si>
    <t>Proceso de pago   primera acta parcial  del contrato N° 15000113 OHa la empresa  Bioambiente Ingenieria S.A.S por $73.226.825,00,  por pagar $27.469.921,00.</t>
  </si>
  <si>
    <t>EJECUTADO Y LIQUIDADO</t>
  </si>
  <si>
    <t xml:space="preserve">si </t>
  </si>
  <si>
    <t>Pago a la empresa EAT Obras los Aspirantes $20.193.306,00 orden de pago N°°15000010</t>
  </si>
  <si>
    <t>Se hizo el traslado  presupuestal al Rubro Control Geotecnico $9.109.948,00 por ejecutar.</t>
  </si>
  <si>
    <t>Proceso pagado a la empresa  Omniambiente S:A.S $8.120.000</t>
  </si>
  <si>
    <t>SEGUIMIENTO CORTE 31 DE DICIEMBRE /2015</t>
  </si>
  <si>
    <t>EN EJCUCIÓN</t>
  </si>
  <si>
    <t>EN ADJUDICACIÓN</t>
  </si>
  <si>
    <t>PUBLICADO</t>
  </si>
  <si>
    <t>LEGALIZACIÓN CONTRATO</t>
  </si>
  <si>
    <t>PARA PUBLICAR, ESPERANDO CERTIFICACIONES DE NIVEL CENTRAL</t>
  </si>
  <si>
    <t>ADQUISICIÓN DE EQUIPOS PARA EL DESARROLLO DEL PROGRAMA DE SALUD OCUPACIONAL</t>
  </si>
  <si>
    <t>Contratar la adquisición de una silla terapeutica de masajes para el grupo de Aeronavegación en el Aeropuerto Jose Maria Cordova de Rionegro en cumplimiento del programa de Salud Ocupacional</t>
  </si>
  <si>
    <t>LEGALIZACIÓN DE CONTRATO</t>
  </si>
  <si>
    <t>Esta en estudios previos</t>
  </si>
  <si>
    <t>pagado</t>
  </si>
  <si>
    <t>ADQUISICION SISTEMAS SOLARES ESTACIONES AERONAUTICAS</t>
  </si>
  <si>
    <t>Esta para adjudicar</t>
  </si>
  <si>
    <t>en ejecucion</t>
  </si>
  <si>
    <t>INCUMPLIMINTO</t>
  </si>
  <si>
    <t xml:space="preserve">EL CONTRATISTA NO CUMPLIO </t>
  </si>
  <si>
    <t>MANTENIMINTO ASCENSORES.</t>
  </si>
  <si>
    <t>en legalizacion</t>
  </si>
  <si>
    <t>ADQUISICION DE TELUROMETRO</t>
  </si>
  <si>
    <t>10.500.00</t>
  </si>
  <si>
    <t>ADQUISICION DE AIRE SPLIT</t>
  </si>
  <si>
    <t>patgado</t>
  </si>
  <si>
    <t>no se realizo</t>
  </si>
  <si>
    <t>LIQUIDADO Y PAGADO</t>
  </si>
  <si>
    <t>MANTENIMIENTOTARJETAS  DE LOS SISTEMAS DE RADIOAYUDAS</t>
  </si>
  <si>
    <t>PPTO SE TRANSLADO PARA ENERGIA</t>
  </si>
  <si>
    <t>ESTA ´PARA ADJUDICAR</t>
  </si>
  <si>
    <t>No aplica,  el  seguimiento a partir de JULIO,  EN COTIZACIONES</t>
  </si>
  <si>
    <t>No se ha realizado</t>
  </si>
  <si>
    <t>NO SE REALIZO,  SE  COMPRARON MAS REPUESTOS PARA TELECOMUNICACIONES</t>
  </si>
  <si>
    <t>SEGUIMIENTO CORTE 30 DE  SEPTIEMBRE/2015</t>
  </si>
  <si>
    <t>SEGUIMIENTO CORTE 31 DE  DICIEMBRE/2015</t>
  </si>
  <si>
    <t>VACACIONES RECREATIVAS HIJOS DE FUNCIONARIOS</t>
  </si>
  <si>
    <t xml:space="preserve"> AEROPUERTO JOSE MARIA CORDOVA DE RIONEGRO</t>
  </si>
  <si>
    <t>NOVIEMBRE /DICIEMBRE</t>
  </si>
  <si>
    <t>Elaboracion de invitación DIRECTA en contratación</t>
  </si>
  <si>
    <t>Contrato ya firmado</t>
  </si>
  <si>
    <t>SiI</t>
  </si>
  <si>
    <t>AEROPUERTOS EL CARAÑO DE QUIBDO Y REYES MURILLO DE NUQUI , CONDOTO Y BAHIA SOLANO</t>
  </si>
  <si>
    <t xml:space="preserve">NOVIEMBRE </t>
  </si>
  <si>
    <t>Proyecto en estudio previos para cumplir con lineamienos de Bogota</t>
  </si>
  <si>
    <t>YA SE ADJUDICO EN PROCESO DE EJECUCION</t>
  </si>
  <si>
    <t>AEROPUERTOS EL RIO DE AMALFI, ANTONIO ROLDAN BETANCUR DE CAREPA, ALBERTO JARAMILLO SANCHEZ DE OTU, ALI PIEDRAHITA DE URRAO Y MANIZALEZ</t>
  </si>
  <si>
    <t xml:space="preserve"> AEROPUERTO LOS GARZONES DE MONTERIA</t>
  </si>
  <si>
    <t>CONTRATO EN COMFACOR PARA LA FIRMA</t>
  </si>
  <si>
    <t xml:space="preserve">REALIZACION DE EVENTOS DEPORTIVOS Y DOTACION </t>
  </si>
  <si>
    <t>AEROPUERTOS RIONEGRO, OLAYA HERRERA</t>
  </si>
  <si>
    <t>Contratar el desarrollo de programas de Bienestar Social a través de eventos deportivos, recreativos,  incluyendo suministro de elementos e implementos deportivos, preparación al futuro pensionado, vacaciones recreativas para hijos de los funcionarios.  Estas actividades van dirigidas a funcionarios y su núcleo familiar.</t>
  </si>
  <si>
    <t>AEROPUERTO MONTERIA</t>
  </si>
  <si>
    <t>AEROPUERTO LOS GARZONES DE MONTERIA</t>
  </si>
  <si>
    <t>AEROPUERTO ENRIQUE OLAYA HERRERA</t>
  </si>
  <si>
    <t>DOTACION CENTROS VCACACIONALES</t>
  </si>
  <si>
    <t>Contratar la dotacion casa vacacional de Rionegro</t>
  </si>
  <si>
    <t>Se esta esperando el presupuesto  para organizar las cabañas  y de inmediato se haria el proyecto para la dotacion de las mismas</t>
  </si>
  <si>
    <t>SE TRANSLADO EL PRESUPUESTO PARA OTROS RUBROS DE BIENESTAR</t>
  </si>
  <si>
    <t xml:space="preserve">CUMPLIMIENTO AL 31 DE MARZO </t>
  </si>
  <si>
    <t>SEGUIMIENTO A SEPTIEMBRE 30 DE 2015</t>
  </si>
  <si>
    <t>SEGUIMIENTO A DICIEMBRE 31 DE 2015</t>
  </si>
  <si>
    <t>40,83% Compromisos
40,83% Obligaciones</t>
  </si>
  <si>
    <t xml:space="preserve">En el primer trimestre se pagaron 329 auxilios de viaje para capacitación </t>
  </si>
  <si>
    <t>Se efectuaron traslados presupuestales  por $355 Millones para modernizar laboratorios del CEA.
Y por $270 Millones para Plan Maestro del Aeropuero de Rionegro.
Estos traslados son posibles debido  a la disminución de los tiempos de Capacitación de algunos de los programas recurrentes.</t>
  </si>
  <si>
    <t>75,21% Compromisos
75,21% Obligaciones</t>
  </si>
  <si>
    <t>En el trimestre se ejecutaron 356 Millones, cifra similar a lo ejecutado en el primer semestre</t>
  </si>
  <si>
    <t>98,09% Compromisos
98,09% Obligaciones</t>
  </si>
  <si>
    <t>Se dio cumplimiento con los porcentajes presentados en la ejecucion presupuestal SIIF de acuerdo con el Presupuesto asignado.</t>
  </si>
  <si>
    <t>PROGRAMAS DE RECONOCIMIENTO INSTITUCIONAL - PERSONERIA JURÍDICA Y REGISTROS CALIFICADOS</t>
  </si>
  <si>
    <t>Servicios inherentes al reconocimiento institucional, personería jurídica y aprobación de los registros calificados de los programas</t>
  </si>
  <si>
    <t>Pago estudio de factibilidad ante el ministerio de educación nacional. res. 2590 del 12 mar 2012. plazo: un dia calendario a partir de la fecha de expedición del registro presupuestal</t>
  </si>
  <si>
    <t>Se efectúo el pago a Ministerio de Educación Nacional</t>
  </si>
  <si>
    <t>El valor cancelado fue $32,2 Millones de pesos. El saldo se trasladará.</t>
  </si>
  <si>
    <t>99,97% Compromisos
99,97% Obligaciones</t>
  </si>
  <si>
    <t>Pago de los derechos para que se adelante la evaluación del programa trainair plus por parte de la oaci al centro de estudios de ciencias aeronáuticas plazo: un dia calendario a partir expedicion registro presupuestal</t>
  </si>
  <si>
    <t>Se efectúo el pago a OACI</t>
  </si>
  <si>
    <t>El valor cancelado fue $36,5 Millones de pesos</t>
  </si>
  <si>
    <t>85% Compromisos
29,4% Obligaciones</t>
  </si>
  <si>
    <t>98,2 % Compromisos
58,4% Obligaciones</t>
  </si>
  <si>
    <t>Culminaron los procesos de  la contratación de docentes tanto en el Nivel Central como en las Regionales</t>
  </si>
  <si>
    <t>En el trimestre se comprometieron $ 251 Millones y se Obligaron $585 Millones</t>
  </si>
  <si>
    <t>99,68% Compromisos
99,11% Obligaciones</t>
  </si>
  <si>
    <t>91,84 % Compromiso
91,84 % Obligación</t>
  </si>
  <si>
    <t>Estos procesos de contratación se direccionaron de acuerdo con la actividad Programas de Reconocimiento Institucional con el traslado de los recursos a ella.</t>
  </si>
  <si>
    <t>Ser expiidio CDP</t>
  </si>
  <si>
    <t>95 % Compromiso
0  % Obligación</t>
  </si>
  <si>
    <t>Ha comprometido $36 Millones, el saldo se traerá al nivel Central</t>
  </si>
  <si>
    <t>Se contrato</t>
  </si>
  <si>
    <t>95 % Compromiso
95  % Obligación</t>
  </si>
  <si>
    <t>El saldo pendiente se traerá al Nivel Central.</t>
  </si>
  <si>
    <t>99,2 % Compromiso
27,5 % Obligacion</t>
  </si>
  <si>
    <t>Se ejecutará la totalidad.</t>
  </si>
  <si>
    <t>95 % Compromiso
48  % Obligación</t>
  </si>
  <si>
    <t>El saldo faltante se comprometerá en Noviembre.</t>
  </si>
  <si>
    <t>100 % Compromiso
83 % Obligacion</t>
  </si>
  <si>
    <t>La ejecución del contrato se encuentra dentro de los terminos</t>
  </si>
  <si>
    <t>No se ha efectuado expedidicón de CDP</t>
  </si>
  <si>
    <t>99% Compromiso
0 % Obligación</t>
  </si>
  <si>
    <t>Inicio la ejecución del contrato.</t>
  </si>
  <si>
    <t xml:space="preserve">4 Cursos ejecutados
Compromisos 25%
Obligaciones 8,9%
</t>
  </si>
  <si>
    <t>87,5 % Compromiso
48.8 % Obligación</t>
  </si>
  <si>
    <t xml:space="preserve">Se han inscrito los inspectores en los cursos de la SSA </t>
  </si>
  <si>
    <t>Se comprometieron 749 Millones, se obligaron 470 millones, durante el trimestre.</t>
  </si>
  <si>
    <t>99,31% Compromisos
99,31% Obligaciones</t>
  </si>
  <si>
    <t>Se anexo a la actividad cultural
fecha de ejecución 15 de Abril</t>
  </si>
  <si>
    <t>Se efectúo</t>
  </si>
  <si>
    <t>Como se explico en el seguimiento de Junio, unicamente se efectuo un contrato que abarca todas las actividades previstas. El Objeto de dicho contrato es: Contratar la ejecución de las actividades: día cultural, día del docente y talleres para la prevención consumo alcohol y drogas del CEA plazo: 4 meses a partir suscripcion acta inicio previo cumplimiento requisitos perfeccionamiento contrato.</t>
  </si>
  <si>
    <t>100% Compromisos
100% Obligaciones</t>
  </si>
  <si>
    <t>Se anexo a la actividad cultural</t>
  </si>
  <si>
    <t>Se ejecuto la actividad, debido a que solo se hizo un día, el costo disminuyo, se ejecutaron $12M</t>
  </si>
  <si>
    <t>No se ejecutará</t>
  </si>
  <si>
    <t>Se radicó proyecto por $535 Millones para elaborar el mantenimiento general de instalciones del CEA</t>
  </si>
  <si>
    <t>Este proyecto fue asumido por la Dirección de Desarrollo Aeroportuario, se trasladaron $480 Millones a la Secretaría General, se encuentra para aprobación final</t>
  </si>
  <si>
    <t>0,0% Compromisos
0,0% Obligaciones</t>
  </si>
  <si>
    <t xml:space="preserve">Se adjudico el 12 de Mayo </t>
  </si>
  <si>
    <t>Está en plazo para recepción de los equipos.</t>
  </si>
  <si>
    <t>Los equipos fueron adquiridos</t>
  </si>
  <si>
    <t>El costo de ellos fue 173,7 Millones</t>
  </si>
  <si>
    <t>Ya se encuentra obligado</t>
  </si>
  <si>
    <t>98,66% Compromisos
85,89% Obligaciones</t>
  </si>
  <si>
    <t>Radicado en la Dirección Administrativa 16 de Junio</t>
  </si>
  <si>
    <t>Se radicó proyecto para la adquisición de sillas para el CEA por $ 200 Millones</t>
  </si>
  <si>
    <t>Se ha comprometido por $199,95 Millones</t>
  </si>
  <si>
    <t>No se ejecutará se adquiriran equipos para laboratorio</t>
  </si>
  <si>
    <t>Este proyecto fue asumido por la Dirección de Informática</t>
  </si>
  <si>
    <t>Contratar la adquisión de radios digitales mds inet 900 para el laboratorio de electrónica del CEA.</t>
  </si>
  <si>
    <t>Se ejecutó</t>
  </si>
  <si>
    <t>Contratar la adquisición de analizadores de calidad de energía, para el laboratorio de electricidad del CEA.</t>
  </si>
  <si>
    <t xml:space="preserve">Contratar la adquisición de instrumentos de medición de sistemas eléctricos para el laboratorio de electricidad del CEA. </t>
  </si>
  <si>
    <t>El proceso se adjudicó</t>
  </si>
  <si>
    <t xml:space="preserve">Contratar adquisición licencias para aplicación exámenes clasificación de inglés para funcionarios de la Entidad. </t>
  </si>
  <si>
    <t>Se encuentra en Administrativa</t>
  </si>
  <si>
    <t xml:space="preserve">Contratar la adquisición e instalación de equipos de redes de datos para el laboratorio de electrónica del CEA. </t>
  </si>
  <si>
    <t xml:space="preserve">Contratar la adquisición de un sistema de entrenamiento en equipo de microondas para el laboratorio de electrónica. </t>
  </si>
  <si>
    <t xml:space="preserve">Se adjudicó por 11M
Se radicara proyecto para compra publicaciones  OACI en Julio </t>
  </si>
  <si>
    <t>99,99% Compromisos
99,99% Obligaciones</t>
  </si>
  <si>
    <t>Se entregó el proyecto en septiembre</t>
  </si>
  <si>
    <t>100% Compromisos
79,68% Obligaciones</t>
  </si>
  <si>
    <t>GRAVAMEN A LOS MOVIMIENTOS FINANCIEROS</t>
  </si>
  <si>
    <t xml:space="preserve">APROPIACIÓN A 31 de DICIEMBRE 2015 </t>
  </si>
  <si>
    <t>seguimiento a DICIEMBRE 31 de 2015</t>
  </si>
  <si>
    <t>MANTENIMIENTO Y MEJORAMINETO DE LA VIA DE ACCESO A LA ESTACION ALGUACIL.</t>
  </si>
  <si>
    <t>MANTENIMIENTO Y MEJORAMINETO DE LA VIA DE ACCESO A LA ESTACION CERRO MACO.</t>
  </si>
  <si>
    <t>MACO</t>
  </si>
  <si>
    <t>ADICIO EN VALOR DE CONTRATO 15000123 OH CUYO OBJETO ES MANTENIMIENTO Y MEJORAMINETO DE LA VIA DE ACCESO A LA ESTACION CERRO MACO.</t>
  </si>
  <si>
    <t>ADICION EN VALOR CONTRATO MANTENIMIENTO Y MEJORAMINETO DE LA VIA DE ACCESO A LA ESTACION CERRO MACO.</t>
  </si>
  <si>
    <t>MANTENIMIENTO DEL CERRAIENTO DE LA ESTACION SARIE BAY Y LIMPIEZA DE LAS AREAS EXTERNAS DEL CENTRO DE CONTROL DEL AEROPUERTO GUSTAVO ROJAS PINILLA DE SAN ANDRES ISLAS.</t>
  </si>
  <si>
    <t>MANTENIMIENTO Y MEJORAMIENTO DE LA SALA TECNICA DEL CENTRO DE AERONAVEGACION DEL AEROPUERTO INTERNACIONAL ERNESTO CORTISSOZ DE BARRANQUILLA</t>
  </si>
  <si>
    <t>ADICION EN VALOR CTO MANTENIMIENTO DEL CERRAIENTO DE LA ESTACION SARIE BAY Y LIMPIEZA DE LAS AREAS EXTERNAS DEL CENTRO DE CONTROL DEL AEROPUERTO GUSTAVO ROJAS PINILLA DE SAN ANDRES ISLAS.</t>
  </si>
  <si>
    <t>SE REQUIERE ADICIONAR EN VALOR EL CONTRATO N. 15000045 OT CUYO OBJETO ES EL MANTENIMIENTO Y MEJORAMIENTO DE LA SALA TECNICA DEL CENTRO DE AERONAVEGACION DEL AEROPUERTO INTERNACIONAL ERNESTO CORTISSOZ DE BARRANQUILLA</t>
  </si>
  <si>
    <t>CONTRATAR EL MEJORAMIENTO DE LA INFRAESTRUCTURA DE LA ESTACIÓN AERONÁUTICA DEL CENTRO DE AERONAVEGACIÓN DEL CARIBE</t>
  </si>
  <si>
    <t>CONTRATAR EL MANTENIMEINTO Y MEJORAMIENTO DEL CERRAMIENTO EN MALLA ESLABONADA DEL AEROPUERTO SAN BERNARDO DE MOMPOX.</t>
  </si>
  <si>
    <t>CONTRATAR EL MANTENIMEINTO Y MEJORAMIENTO DEL CERRAMIENTO EN ALAMBRE DE PUA DEL AEROPUERTO BARACOA DE MAGANGUE.</t>
  </si>
  <si>
    <t>MAGUANGUE</t>
  </si>
  <si>
    <t>MTTO Y CONSERVACION INFRAESTRUCTURA COMPLEMENTARIA MEDIANTE MEJORAMIENTO CERRAMIENTO D LINDEROS APTO DE B/QUILLA, ACCESO PRINCIPAL POSTES, MOJONES EN CONCRETO Y ALAMBRE PUA N° 14 Y CERRAMIENTO EN MALLA ESLABONADA EN PREDIOS ADMINISTRADOS X AEROCIVIL</t>
  </si>
  <si>
    <t>SE REQUIERE ADIOCIONAR EN VALOR EL CONTRATO N. 15000062 OT CUYO OBJETO ES EL MTTO Y CONSERVACION INFRAESTRUCTURA COMPLEMENTARIA MEDIANTE MEJORAMIENTO CERRAMIENTO D LINDEROS APTO DE B/QUILLA, ACCESO PRINCIPAL POSTES, MOJONES EN CONCRETO Y ALAMBRE PUA N° 14 Y CERRAMIENTO EN MALLA ESLABONADA EN PREDIOS</t>
  </si>
  <si>
    <t>SE REQUIERE ADICIONAR EN VALOR Y PLAZO EL CONTRATO N. 15000186 OHCONTRATAR EL MANTENIMEINTO Y MEJORAMIENTO DEL CERRAMIENTO EN MALLA ESLABONADA DEL AEROPUERTO SAN BERNARDO DE MOMPOX.</t>
  </si>
  <si>
    <t>445,878,275</t>
  </si>
  <si>
    <t>MANTENIMIENTO Y ADECUACION DE LA PISTA Y CALLES DE RODAJES DE LOS AEROPUERTOS GUSTAVO ROJAS PINILLA DE SAN ANDRES Y EL EMBRUJO DE PROVIDENCIA, MEDIANTE LA REPARACION DE BACHES, JUNTAS Y GRIETA.</t>
  </si>
  <si>
    <t>CONTRATAR EL MANTENIMIENTO Y ADECAUCIÓN DE LA PISTA Y CALLES DE RODAJES DEL AEROPUERTO GUSTAVO ROJAS PINILLLA DE SAN ANDRES, MEDIANTE LA REPARACIÓN DE BACHES, JUNTAS Y GRIETAS</t>
  </si>
  <si>
    <t>MANTENIMIENTO Y ADECUACION DE LA PISTA Y CALLES DE RODAJES DEL AEROPUERTO EL EMBRUJO DE PROVIDENCIA, MEDIANTE LA REPARACION DE BACHES, JUNTAS Y GRIETAS.</t>
  </si>
  <si>
    <t>PROVIDENCIA</t>
  </si>
  <si>
    <t>MANTENIMIENTO Y ADECUACION DE LA PISTA Y CALLES DE RODAJE DEL AEROPUERTO INTERNACIONAL ERNESTO CORTISSOZ DE BARRANQUILLA, MEDIANTE LA REPARACION DE BACHES, JUNTAS Y GRIETAS.</t>
  </si>
  <si>
    <t>SE REQUIERE ADICIONAR EN VALOR EL CONTRATO N. 15000015 OT CUYO OBJETO CONSISTE EN CONTRATAR EL MANTENIMIENTO Y ADECAUCIÓN DE LA PISTA Y CALLES DE RODAJES DEL AEROPUERTO GUSTAVO ROJAS PINILLLA DE SAN ANDRES, MEDIANTE LA REPARACIÓN DE BACHES, JUNTAS Y GRIETAS.</t>
  </si>
  <si>
    <t>SE REQUIERE ADICIONAR EN VALOR EL CONTRATO 15000008OT  CUYO OBJETO ES MANTENIMIENTO Y ADECUACION DE LA PISTA Y CALLES DE RODAJES DE LOS AEROPUERTOS GUSTAVO ROJAS PINILLA DE SAN ANDRES Y EL EMBRUJO DE PROVIDENCIA, MEDIANTE LA REPARACION DE BACHES, JUNTAS Y GRIETA, CONFORME AL ACTA DE MODIFICACION DE</t>
  </si>
  <si>
    <t>CONTRATAR EL MANTENIMIENTO Y CONSERVACIÓN DE LA PISTA DEL AEROPUERTO INTERNACIONAL GUSTAVO ROJAS PINILLA A TRAVÉS DE EQUIPO EN ALQUILER Y DEL MATERIAL AGLOMERADO ASFÁLTICO DE APLICACIÓN EN FRÍO PARA EL TRATAMIENTO DE BACHES Y GRIETAR</t>
  </si>
  <si>
    <t>CONTRATAR EL MANTENIMIENTO DE LA PISTA DEL AEROPUERTO DE RIOHACHA MEDIANTE LA DEMARCACIÓN DE LA PISTA Y CALLES DE RODAJE</t>
  </si>
  <si>
    <t>CONTRATAR EL MANTENIMIENTO DE LA PISTA DEL AEROPUERTO DE VALLEDUPAR MEDIANTE DEMARCACIÓN DE EJE CENTRAL</t>
  </si>
  <si>
    <t>CONTRATAR LA DEMARCACIÓN Y SEÑALIZACIÓN DE LA PISTA Y CALLES DE RODAJE DEL AEROPUERTO GOLFO DE MORROSQUILLO DE TOLÚ</t>
  </si>
  <si>
    <t>CONTRATAR LA DESCONTAMINACION DE LA PISTA DEL AEROPUERTO DE SANTA MARTA</t>
  </si>
  <si>
    <t>SE REQUIERE ADICIONAR EN VALOR EL CONTRATO N. 15001284 OC CONTRATAR LA DESCONTAMINACION DE LA PISTA DEL AEROPUERTO DE SANTA MARTA</t>
  </si>
  <si>
    <t xml:space="preserve">saldo </t>
  </si>
  <si>
    <t>MANTENIMIENTO ZONAS DE SEGURIDAD Y LIMPIEZA DE CANALES DEL AEROPUERTO LAS MERCEDES DE PLATO.</t>
  </si>
  <si>
    <t>MANTENIMIENTO ZONAS DE SEGURIDAD Y LIMPIEZA DE CANALES DEL AEROPUERTO SAN BERNARDO DE MOMPOX.</t>
  </si>
  <si>
    <t>MANTENIMIENTO ZONAS DE SEGURIDAD Y LIMPIEZA DE CANALES DEL AEROPUERTO HACARITAMA DE AGUACHICA.</t>
  </si>
  <si>
    <t>MANTENIMIENTO ZONAS DE SEGURIDAD Y LIMPIEZA DE CANALES DEL AEROPUERTO BARACOA DE MAGANGUE.</t>
  </si>
  <si>
    <t>MANTENIMIENTO ZONAS DE SEGURIDAD Y LIMPIEZA DE CANALES DEL AEROPUERTO ALFONSO LOPEZ DE VALLEDUPAR.</t>
  </si>
  <si>
    <t>MANTENIMIENTO ZONAS DE SEGURIDAD Y LIMPIEZA DE CANALES DEL AEROPUERTO ALMIRANTE PADILLA DE RIOHACHA.</t>
  </si>
  <si>
    <t>SALDO SIN UTILIZAR DE RP 15002353</t>
  </si>
  <si>
    <t>RP</t>
  </si>
  <si>
    <t>MANTENIMIENTO ZONAS DE SEGURIDAD Y LIMPIEZA DE CANALES DEL AEROPUERTO GOLFO DE MORROSQUILLO DE TOLU.</t>
  </si>
  <si>
    <t>MANTENIMIENTO ZONAS DE SEGURIDAD Y LIMPIEZA DE CANALES DEL AEROPUERTO LAS LAS FLORES DEL BANCO MAGDALENA.</t>
  </si>
  <si>
    <t>MAGDALENA</t>
  </si>
  <si>
    <t>MANTENIMIENTO ZONAS DE SEGURIDAD Y LIMPIEZA DE CANALES DE LOS AEROPUERTOS GUSTAVO ROJAS PINILLA DE SAN ANDRES Y EL EMBRUJO DE PROVIDENCIA.</t>
  </si>
  <si>
    <t>MANTENIMIENTO ZONAS DE SEGURIDAD Y LIMPIEZA DE CANALES DEL AEROPUERTO ERNESTO CORTISSOZ DE BARRANQUILLA.</t>
  </si>
  <si>
    <t>MANTENIMIENTO ZONAS DE SEGURIDAD Y LIMPIEZA DE CANALES DEL AEROPUERTO SIMON BOLIVAR DE SANTA MARTA.</t>
  </si>
  <si>
    <t>MARTA</t>
  </si>
  <si>
    <t>CONTRATAR EL MANTENIMIENTO DE LAS ZONAS DE SEGURIDAD Y CANALES MEDIANTE EL ESPARCIDO Y COMPACTADO DE MATERIAL FRESADO EN EL AEROPUERTO ALMIRANTE PADILLA DE RIOHACHA</t>
  </si>
  <si>
    <t>SE REQUIERE ADICIONAR EN VALOR Y PLAZO EL CONTRATO N. 15000340OC CUYO OBJETO ES EL MANTENIMIENTO ZONAS DE SEGURIDAD Y LIMPIEZA DE CANALES DEL AEROPUERTO LAS MERCEDES DE PLATO.</t>
  </si>
  <si>
    <t>SE REQUIERE  ADICIONAR EN VALOR Y PLAZO EL CONTRATO N. 15000725 OC CUYO OBJETO ES CONTRATAR EL MANTENIMIENTO DE LAS ZONAS DE SEGURIDAD Y CANALES MEDIANTE EL ESPARCIDO Y COMPACTADO DE MATERIAL FRESADO EN EL AEROPUERTO ALMIRANTE PADILLA DE RIOHACHA</t>
  </si>
  <si>
    <t>SE REQUIERE ADICIONAR EN VALOR DEL CONTRATO N. 15000338OC CUYO OBJERO CORRESPONDE A EL MANTENIMIENTO ZONAS DE SEGURIDAD Y LIMPIEZA DE CANALES DEL AEROPUERTO HACARITAMA DE AGUACHICA.</t>
  </si>
  <si>
    <t>SE REQUIRE ADICIONAR EN VALOR Y PLAZO EL CONTRATO N. 15000339OC CUYO OBJETO ES EL MANTENIMIENTO ZONAS DE SEGURIDAD Y LIMPIEZA DE CANALES DEL AEROPUERTO BARACOA DE MAGANGUE.</t>
  </si>
  <si>
    <t xml:space="preserve">CONTRATAR EL MANTENIMIENTO DE ZONAS DE SEGURIDAD, ZONAS ALEDAÑAS Y CANALES DEL AEROPUERTO DE MOMPOX </t>
  </si>
  <si>
    <t>CONTRATAR EL MANTENIMIENTO DE LAS ZONAS DE SEGURIDAD Y LIMPIEZA DE CANALES DEL AEROPUERTO DE SAN ANDRES Y PROVIDENCIA</t>
  </si>
  <si>
    <t xml:space="preserve">MANTENIMIENTO TORRES DE CONTROL </t>
  </si>
  <si>
    <t>CONTRATAR EL MANTENIMIENTO DE LA TORRE DE CONTROL DEL AEROPUERTO ALMIRANTE PADILLA DE RIOHACHA.</t>
  </si>
  <si>
    <t>CONTRATAR EL MANTENIMIENTO Y M EJORAMIENTO DE LA TORRE DE CONTROL DEL AEROPUERTO INTERNACIONAL ERNESTO CORTISSOZ DE BARRANQUILLA</t>
  </si>
  <si>
    <t>CONTRATAR EL MANTENIMIENTO DE LA TORRE DE CONTROL DEL AEROPUERTO RAFAEL NÚÑEZ DE CARTAGENA</t>
  </si>
  <si>
    <t>SE REQUIERE ADICIONAR EN VALOR Y PLAZO EL CONTRATO N. 15000051OT CUYO OBJETO ES CONTRATAR EL MANTENIMIENTO Y M EJORAMIENTO DE LA TORRE DE CONTROL DEL AEROPUERTO INTERNACIONAL ERNESTO CORTISSOZ DE BARRANQUILLA</t>
  </si>
  <si>
    <t>CONTRATAR EL MANTENIMIENTO DE LA TORRE DE CONTROL DEL AEROPUERTO EL EMBRUJO DE PROVIDENCIA</t>
  </si>
  <si>
    <t>CONTRATAR EL MANTENIMIENTO DE LA TORRE DE CONTROL DEL AEROPUERTO GUSTAVO ROJAS PINILLA DE SAN ANDRÉS BAJO LA MODALIDAD DE OUTSOURCING, POR EL SISTEMA DE PRECIOS UNITARIOS FIJOS, INCLUYE EL SUMINISTRO DE MATERIALES Y MANO DE OBRA</t>
  </si>
  <si>
    <t>MANTENIMIENTO Y ADECUACION DEL TERMINAL DE LOS AEROPUERTOS GUSTAVO ROJAS PINILLA DE SAN ANDRES Y EL EMBRUJO DE PROVIDENCVIA, BAJO LA MODALIDAD DE OUTSORCING, POR EL SISTEMA DE PRECIOS UNITARIOS FIJOS, INCLUYENDO EL SUMINISTRO DE MATERIALES Y MANO DE OBRA.</t>
  </si>
  <si>
    <t>MANTENIMIENTO Y ADECUACION DEL TERMINAL DEL AEROPUERTO INTERNACIONAL ERNESTO CORTISSOZ DE BARRANQUILLA, BAJO LA MODALIDAD DE OUTSOURCING, POR EL SISTEMA DE PRECIOS UNITARIOS FIJOS, INCLUYENDO EL SUMINISTRO DE MATERIALES Y MANO DE OBRA.</t>
  </si>
  <si>
    <t>POR SOLICITUD DEL SUPERVISOR Y VB ORDENADOR SE REQUIERE ADICIONAR EN VALOR EL CONTRATO 15000229OC CUYO OBJETO ES EL MANTENIMIENTO Y ADECUACION DEL TERMINAL DEL AEROPUERTO INTERNACIONAL ERNESTO CORTISSOZ DE BARRANQUILLA, BAJO LA MODALIDAD DE OUTSOURCING, POR EL SISTEMA DE PRECIOS UNITARIOS FIJOS, INC</t>
  </si>
  <si>
    <t>POR SOLICITUD DEL SUPERVISOR DEL CTO Y V°B° DEL DIR. REG. SE REQUIERE ADICIONAR EN VALOR EL CONTRATO 15000077OC CUYO OBJETO MANTENIMIENTO Y ADECUACION DEL TERMINAL DE LOS AEROPUERTOS GUSTAVO ROJAS PINILLA DE SAN ANDRES Y EL EMBRUJO DE PROVIDENCVIA, BAJO LA MODALIDAD DE OUTSORCING, POR EL SISTEMA DE</t>
  </si>
  <si>
    <t>POR SOLICITUD DEL SUPERVISOR Y VISTO BUENO DEL DIR. REGIONAL SE REQUIERE ADICIONAR EN VALOR EL CONTRATO 15000229OC CUYO OBJETO ES MANTENIMIENTO Y ADECUACION DEL TERMINAL DEL AEROPUERTO INTERNACIONAL ERNESTO CORTISSOZ DE BARRANQUILLA, BAJO LA MODALIDAD DE OUTSOURCING, POR EL SISTEMA DE PRECIOS UNITAR</t>
  </si>
  <si>
    <t>CONTRATAR EL MANTENIMIENTO DEL TERMINAL DEL AEROPUERTO LAS MERCEDES DE PLATO MAGDALENA</t>
  </si>
  <si>
    <t>CONTRATAR EL MANTENIMIENTO DEL TERMINAL DEL AEROPUERTO DE LAS FLORES DE EL BANCO MAGDALENA</t>
  </si>
  <si>
    <t>CONTRATAR EL MANTENIMIENTO DEL TERMINAL DEL AEROPUERTO GOLFO DE MORROSQUILLO DE TOLÚ</t>
  </si>
  <si>
    <t>CONTRATAR EL MANTENIMIENTO Y ADECUACION DEL TERMINAL DEL AEROPUERTO EL EMBRUJO DE PROVIDENCIA, BAJO LA MODALIDAD DE OUTSORCING, POR EL SISTEMA DE PRECIOS UNITARIOS FIJOS, INCLUYENDO EL SUMINISTRO DE MATERIALES Y MANO DE OBRA.</t>
  </si>
  <si>
    <t>CONTRATAR EL MANTENIMIENTO Y ADECUACION DEL TERMINAL DEL AEROPUERTO GUSTAVO ROJAS PINILLA DE SAN ANDRES, BAJO LA MODALIDAD DE OUTSORCING, POR EL SISTEMA DE PRECIOS UNITARIOS FIJOS, INCLUYENDO EL SUMINISTRO DE MATERIALES Y MANO DE OBRA.</t>
  </si>
  <si>
    <t>CONTRATAR EL MANTENIMIENTO DEL TERMINAL DEL AEROPUERTO BARACOA DE MAGNGUE.</t>
  </si>
  <si>
    <t>MAGNGUE</t>
  </si>
  <si>
    <t>POR SOLISICTU DEL SUPERVISOR DEL CONTRATO Y V°B° DE LA DIR REGIONAL SE REQUIERE ADICIONAR EN VALOR EL CONTRATO 15000050OT, CUYO OBJETO ES CONTRATAR EL MANTENIMIENTO DEL TERMINAL DEL AEROPUERTO DE LAS FLORES DE EL BANCO MAGDALENA</t>
  </si>
  <si>
    <t>ADCION EN VALOR CONTRATO No. 15000048 OT CUYO OBJETO ES CONTRATAR EL MANTENIMIENTO DEL TERMINAL DEL AEROPUERTO LAS MERCEDES DE PLATO MAGDALENA</t>
  </si>
  <si>
    <t>MANTENIMEINTO Y ADECUACION DE LA ESTACION DE BOMBEROS DEL AEROPUERTO GUSTAVO ROJAS PINILLA DE SAN ANDRES.</t>
  </si>
  <si>
    <t>CONTRATAR EL MANTENIMIENTO DE LA ESTACION DE BOMBEROS DEL AEROPUERTO SIMON BOLIVAR DE SANTA MARTA.</t>
  </si>
  <si>
    <t>SE REQUIERE ADICIONAR EN VALOR LA ORDEN DE TRABAJO N. 15000069 OT CUYO OBJETO CORRESPONDE A  CONTRATAR EL MANTENIMIENTO DE LA ESTACION DE BOMBEROS DEL AEROPUERTO SIMON BOLIVAR DE SANTA MARTA.</t>
  </si>
  <si>
    <t>santa marta</t>
  </si>
  <si>
    <t>MANTENIMIENTO Y MEJORAMIENTO DE LA CANALIZACION EN CONCRETO DEL AEROPUERTO SAN BERNARDO DE MOMPOX.</t>
  </si>
  <si>
    <t>POR SOLICITUD DEL SUPERVISOR DEL CTO Y APROBACIÓN DEL ORDENADOR DEL GASTO SE REQUIERE ADICIONAR EN VALOR EL CONTRATO 15000020OT CUYO OBJETO ES MANTENIMIENTO Y MEJORAMIENTO DE LA CANALIZACION EN CONCRETO DEL AEROPUERTO SAN BERNARDO DE MOMPOX.</t>
  </si>
  <si>
    <t>MANTENIMIENTO Y MEJORAMIENTO DE LA CANALIZACION EN CONCRETO DEL AEROPUERTO ALFONSO LOPEZ DE VALLEDUPAR.</t>
  </si>
  <si>
    <t>CONTRATAR EL MEJORAMIENTO DE LA CANALIZACION EN CONCRETO DEL AEROPUERTO LAS FLORES DEL BANCO MAGDALENA</t>
  </si>
  <si>
    <t>CONTRATR EL MANTENIMIENTO DE LA CANALIZACIÓN EN CONCRETO DEL AEROPUERTO ALMIRANTE PADILLA DE RIOHACHA</t>
  </si>
  <si>
    <t>CONTRATAR EL MEJORAMIENTO DE LA CANALIZACION EN CONCRETO DEL AEROPUERTO LAS MERCEDES DE PLATO MAGDALENA</t>
  </si>
  <si>
    <t>ADICION EN VALOR DEL CONTRATO No. 15000034 OT CUYO VALOR ES CONTRATAR EL MEJORAMIENTO DE LA CANALIZACION EN CONCRETO DEL AEROPUERTO LAS FLORES DEL BANCO MAGDALENA</t>
  </si>
  <si>
    <t>SE REQUIERA ADICIONAR EN VALOR EL CONTRATO N. 15000243 OH CUYO OBJETO CORRESPONDE AL MEJORAMIENTO DE LA CANALIZACION EN CONCRETO DEL AEROPUERTO LAS MERCEDES DE PLATO MAGDALENA</t>
  </si>
  <si>
    <t>SE REQUIERE ADICIONAR EN VALOR EL CONTRATO N. 15000122 OH CUYO OBJETO ES EL MANTENIMIENTO Y MEJORAMIENTO DE LA CANALIZACION EN CONCRETO DEL AEROPUERTO ALFONSO LOPEZ DE VALLEDUPAR.</t>
  </si>
  <si>
    <t>SE REQUIERE ADICIONAR EN VALOR EL CONTRATO N. 15000227 OH CUYO OBJETO CORRESPONDE CONTRATR EL MANTENIMIENTO DE LA CANALIZACIÓN EN CONCRETO DEL AEROPUERTO ALMIRANTE PADILLA DE RIOHACHA</t>
  </si>
  <si>
    <t>CONTRATAR EL MTTO D LA INFRAESTRUCTURA AEROPORTUARIA MEDIANTE TRABAJOS COMPLEMENTARIOS D LIMPIEZA LOS LOTES D PROPIEDAD D LA AERONAUTICA CIVIL EN APTO RAFAEL NUÑUZ DE CARTAGENA UBICADOS EN LOS BARRIOS SAN FRANCISCO, SIETE D AGOSTO Y LOMA D VIDRIO.</t>
  </si>
  <si>
    <t>MANTENIMIENTO Y MEJORAMIENTO DE LA VIA DE ACCESO AL AEROPUERTO LAS MERCEDES DE PLATO MAGDALENA.</t>
  </si>
  <si>
    <t>POR SOLUCITUD DEL SUPERVISOR DEL CONTRATO Y VB DEL DIR. REG. SE REQUIERE ADICIONAR EN VALOR EL CONTRATO 15000022OT CUYO OBJETO MANTENIMIENTO Y MEJORAMIENTO DE LA VIA DE ACCESO AL AEROPUERTO LAS MERCEDES DE PLATO MAGDALENA.</t>
  </si>
  <si>
    <t>MANTENIMIENTO VIA AEROPUERTO DE MOMPOX</t>
  </si>
  <si>
    <t>MANTENIMIENTO Y MEJORAMIENTO DE LA VIA DE ACCESO AL AEROPUERTO GOLFO DE MOROSQUILLO DE TOLU.</t>
  </si>
  <si>
    <t>MANTENIMIENTO DE LA VIA DE ACCESO AL AEROPUERTO LAS FLORES DEL BANCO MAGDALENA</t>
  </si>
  <si>
    <t>EL BANCO</t>
  </si>
  <si>
    <t>CONTRATAR EL MANTENIMIENTO Y MEJORAMIENTO DE LA VÍA DE ACCESO AL AEROPUERTO BARACOA DE MAGANGUÉ</t>
  </si>
  <si>
    <t>CONTRATAR LOS TRABAJOS COMPLEMENTARIOS DEL AEROPUERTO SAN BERNARDO DE MOMPOX PARA LA ADECUACIÓN Y MANTENIMIENTO DE LOS LOTES RESTITUIDOS DE PROPIEDAD DE LA ENTIDAD</t>
  </si>
  <si>
    <t xml:space="preserve"> ADICION CONTRATO DE MANTENIMIENTO Y MEJORAMIENTO VIA DE ACCESO AEROUPERTO DE MAGANGUE</t>
  </si>
  <si>
    <t>ADICION OBJETO MANTENIMIENTO Y MEJORAMIENTO VIA DE ACCESO AEROUPERTO DE MAGANGUE</t>
  </si>
  <si>
    <t>ADICION CONTRATO 15000170 OH MANTENIMIENTO V IA DE AEROPUERTO DE TOLU.</t>
  </si>
  <si>
    <t>SE REQUIERE ADICIONAR EN VALOR EL CONTRATO N. 15000234 OH MANTENIMIENTO DE LA VIA DE ACCESO AL AEROPUERTO LAS FLORES DEL BANCO MAGDALENA</t>
  </si>
  <si>
    <t>CONTRATAR EL MANTENIMIENTO DE LA INFRAESTRUCTURA COMPLEMENTARIA MEDIANTE TRABAJOS DE LIMPIEZA DE LOTES DE PROPIEDAD DE AEROCIVIL DEL AEROPUERTO DE CARTAGENA UBICADOS EN LOS BARRIOS SAN FRANCISCO, 7 DE AGOSTO Y LOMA DE VIDRIO</t>
  </si>
  <si>
    <t>MANTENIMIENTO DE LA INFRAESTRUCTURA COMPLEMENTARIA MEDIANTE LA EXPARCION Y COMPACTACION DEL MATERIAL FRESADO DEL AEROPUERTO DE VALLEDUPAR</t>
  </si>
  <si>
    <t>CONTRATAR EL MANTENIMIENTO Y OPERACIÓN DE LOS SISTEMAS DE TRATAMIENTO DE AGUA RESIDUAL DEL AEROPUERTO INTERNACIONAL ERNESTO CORTISSOZ DE BARRANQUILLA</t>
  </si>
  <si>
    <t>CONTRATAR EL MANTENIMIENTO DE LOS SISTEMAS DE TRATAMIENTO DE AGUA DE LOS AEROPUERTOS DE SAN BERNARDO DE MOMPOX, LAS FLORES DE EL BANCO Y BARACOA DE MAGANGUÉ</t>
  </si>
  <si>
    <t>CONTRATAR EL MANTENIMIENTO DE LOS SISTEMAS DE TRATAMIENTO DE AGUA DE LOS AEROPUERTOS DE TOLÚ Y LAS MERCEDES DE PLATO</t>
  </si>
  <si>
    <t>SE REQUIERE ADICIONAR EN VALOR DEL CONTRATO N. 15000849OC CUYO OBJETO ES CONTRATAR EL MANTENIMIENTO DE LOS SISTEMAS DE TRATAMIENTO DE AGUA DE LOS AEROPUERTOS DE TOLÚ Y LAS MERCEDES DE PLATO</t>
  </si>
  <si>
    <t>SE REQUIERE ADICIONAR EN VALOR EL CONTRATO N. 15000783OC CONTRATAR EL MANTENIMIENTO DE LOS SISTEMAS DE TRATAMIENTO DE AGUA DE LOS AEROPUERTOS DE SAN BERNARDO DE MOMPOX, LAS FLORES DE EL BANCO Y BARACOA DE MAGANGUÉ</t>
  </si>
  <si>
    <t>CONTRATAR EL MANTENIMIENTO DE LOS SISTEMAS DE TRATAMIENTO DE AGUA DEL AEROPUERTO ALFONSO LÓPEZ DE VALLEDUPAR, MEDIANTE EL SELLAMIENTO DE LOS POZOS SÉPTICOS EXISTENTES</t>
  </si>
  <si>
    <t>CONTRATAR EL MANTENIMIENTO DE LOS SISTEMAS DE TRATAMIENTO DE AGUA DEL AEROPUERTO HARICATAMA DE AGUACHICA</t>
  </si>
  <si>
    <t>MANTENIMIENTO DE LOS SISTEMAS DE TRATAMIENTO DE AGUA DE CASA EMISORA UBICADA EN EL AEROPUERTO ERNESTO CORTISSOZ DE BARRANQUILLA</t>
  </si>
  <si>
    <t>MANTENIMIENTO DE LAS INSTALACIONES HIDRAULICAS Y SANITARIAS DE LOS AEROPUERTOS GUSTAVO ROJAS PINILLA DE SAN ANDRES Y EL EMBRUJO DE PROVIDENCIA, BAJO LA MODALIDAD DE OUTSURCING, POR EL SISTEMA DE PRECIOS UNITARIOS FIJOS, INCLUYENDO EL SUSMINISTRO DE MATERIALES Y MANO DE OBRA.</t>
  </si>
  <si>
    <t>MANTENIMIENTO D LAS INSTALACIONES HIDRAULICAS Y SANITARIAS DEL AEROPUERTO INTERNACIONAL ERNESTO CORTISSOZ D BARRANQUILLA, BAJO LA MODALIDAD D OUTSURCING, POR EL SISTEMA D PRECIOS UNITARIOS FIJOS, INCLUYENDO EL SUMINISTRO D MATERIALES Y MANO D OBRA.</t>
  </si>
  <si>
    <t>ADICION EN VALOR CONTRATO 1500028 - OT CUYO OBJETO ES EL MANTENIMIENTO D LAS INSTALACIONES HIDRAULICAS Y SANITARIAS DEL AEROPUERTO INTERNACIONAL ERNESTO CORTISSOZ D BARRANQUILLA, BAJO LA MODALIDAD D OUTSURCING, POR EL SISTEMA D PRECIOS UNITARIOS FIJOS, INCLUYENDO EL SUMINISTRO D MATERIALES Y MANO D</t>
  </si>
  <si>
    <t>SE REQUIERE REALIZAR EL ADICIONAL DEL CONTRATO N. 15000078 OC CUYO OBJETO CONSISTE EN CONTRATAR EL MANTENIMIENTO DE LAS INSTALACIONES HIDRAULICAS Y SANITARIAS DE LOS AEROPUERTOS GUSTAVO ROJAS PINILLA DE SAN ANDRES Y EL EMBRUJO DE PROVIDENCIA, BAJO LA MODALIDAD DE OUTSURCING, POR EL SISTEMA DE PRECIO</t>
  </si>
  <si>
    <t>CONTRATAR LA ELIMINACIÓN DE OBSTACULOS VISUALES DE LOS AEROPUERTOS ALMIRANTE PADILLA DE RIOHACHA Y SIMÓN BOLÍVAR DE SANTA MARTA</t>
  </si>
  <si>
    <t>CONTRATAR EL CONTROL GEOTÉCNICO CONSISTENTE EN EL MANTENIMIENTO DE LOS JARDINES DEL AEROPUERTO GOLFO DE MORROSQUILLO DE TOLÚ</t>
  </si>
  <si>
    <t>TOLÚ</t>
  </si>
  <si>
    <t>CONTRATAR EL CONTROL GEOTÉCNICO CONSISTENTE EN EL MANTENIMIENTO DE LOS JARDINEZ DE LOS AEROPUERTOS BARACOA DE MAGANGUE, LAS MERCEDES DE PLATO Y SAN BERNARDO DE MOMPOX</t>
  </si>
  <si>
    <t>CONTRATAR EL CONTROL GEOTÉCNICO CONSISTENTE EN EL MANTENIMIENTO DE LAS ZONAS VERDES DEL CENTRO DE CONTROL CAC Y CASA EMISORA DEL AEROPUERTO ERNESTO CORTISSOZ DE BARRANQUILLA</t>
  </si>
  <si>
    <t>SE REQUIERE ADICIONAR EN VALOR Y PLAZO EL CONTRATO N. 15000899 OR CUYO OBJETO ES CONTRATAR LA ELIMINACIÓN DE OBSTACULOS VISUALES DE LOS AEROPUERTOS ALMIRANTE PADILLA DE RIOHACHA Y SIMÓN BOLÍVAR DE SANTA MARTA</t>
  </si>
  <si>
    <t>CONTRATAR EL CONTROL GEOTÉCNICO CONSISTENTE EN EL MANTENIMIENTO DE LAS ZONAS VERDES DEL MANTENIMIENTO DE LAS ZONAS VERDES DEL AEROPUERTO GUSTAVO ROJAS PINILLA DE SAN ANDRÉS</t>
  </si>
  <si>
    <t>CONTRATAR LA ADQUISICIÓN DE COHETES CUATRO TIEMPOS PARA EL AEROPUERTO INTERNACIONAL ERNESTO CORTISSOZ</t>
  </si>
  <si>
    <t>CONTRATAR LA ADQUISICIÓN DE INSUMOS QUÍMICOS PARA LOS SISTEMAS DE TRATAMIENTO DE AGUA PARA EL AEROPUERTO ERNESTO CORTISSOZ DE BARRANQUILLA</t>
  </si>
  <si>
    <t>CONTRATACION DEL PROGRAMA DE GESTION DE RIESGO PARA EL CONTROL DE PELIGRO AVIARIO Y FAUNA EN LOS AEROPUERTOS GUSTAVO ROJAS PINILLA DE SAN ANDRES Y EL EMBRUJO DE PROVIDENCIA.</t>
  </si>
  <si>
    <t>CONTRATACION DEL PROGARMA DE GESTION DE RIEGO PARA EL CONTROL DE PELIGRO AVIARIO Y FAUNA EN EL AEROPUERTO INTERNACIONAL ERNESTO CORTISSOZ.</t>
  </si>
  <si>
    <t>ADICION EN VALOR DEL CONTRATO N° 15000336-OC PARA EL PROGARMA DE GESTION DE RIEGO PARA EL CONTROL DE PELIGRO AVIARIO Y FAUNA EN EL AEROPUERTO INTERNACIONAL ERNESTO CORTISSOZ.</t>
  </si>
  <si>
    <t>CONTRATACION DEL PROGRAMA DE GESTION DE RIESGO PARA EL CONTROL DE PELIGRO AVIARIO Y FAUNA EN EL AEROPUERTO ALFONSO LOPEZ DE VALLEDUPAR.</t>
  </si>
  <si>
    <t>CONTRATACION DEL PROGRAMA DE GESTION DE RIESGO PARA EL CONTROL DE PELIGRO AVIARIO Y FAUNA EN EL AEROPUERTO ALMIRANTE PADILLA DE RIOHACHA.</t>
  </si>
  <si>
    <t>CONTRATACION DEL PROGRAMA DE GESTION DE RIESGO PARA EL CONTROL DE PELIGRO AVIARIO Y FAUNA EN EL AEROPUERTO SIMON BOLIVAR DE SANTA MARTA.</t>
  </si>
  <si>
    <t>CONTRATACION DEL PROGRAMA DE GESTION DE RIEGO PARA EL CONTROL DE PELIGRO AVIARIO Y FAUNA EN EL AEROPUERTO GOLFO DE MORROSQUILLO DE TOLU</t>
  </si>
  <si>
    <t>POR SOLICITUD DEL SUPERVISOR DEL CONTRATO Y VISTO DEL DIR. REGIONAL ATLANTICO SE REQUIERE ADICIONAR EN VALOR Y PLAZO EL CONTRATO 15000621OC CUYO OBJETO ES CONTRATACION DEL PROGRAMA DE GESTION DE RIESGO PARA EL CONTROL DE PELIGRO AVIARIO Y FAUNA EN EL AEROPUERTO SIMON BOLIVAR DE SANTA MARTA.</t>
  </si>
  <si>
    <t>CONTRATAR EL MANTENIMIENTO Y ADECUACIÓN DE LAS INSTALACIONES DEL ALMACÉN DEL AEROPUERTO ERNESTO CORTISSOZ DE BARRANQUILLA</t>
  </si>
  <si>
    <t>MANTENIMIENTO Y ADECUACION DE LAS OFICINAS ADMINISTRATIVAS AIS/COM/MET DEL AEROPUERTO GUSTAVO ROJAS PINILLA SAN ANDRES.</t>
  </si>
  <si>
    <t>CONTRATAR EL MANTENIMIENTO Y ADECUACIÓN DE LAS INTALACIONES ADMINISTRATIVAS DE LOS AEROPUERTOS ALFONSO LOPEZ DE VALLEDUPAR Y ALMIRANTE PADILLA DE RIOHACHA CONSISTENTA EN LOS PUESTOS DE ATENCIÓN AL USUARIO</t>
  </si>
  <si>
    <t xml:space="preserve">RIOHACHA </t>
  </si>
  <si>
    <t>CONTRATAR EL MANTENIMIENTO DE LAS OFICINAS ADMINISTRATIVAS DEL AEROPUERTO BARACOA DE MAGANGUE</t>
  </si>
  <si>
    <t>CONTRATAR EL MANTENIMIENTO DE LAS OFICINAS ADMINISTRATIVAS DEL AEROPUERTO SAN BERNARDO DE MÓMPOX</t>
  </si>
  <si>
    <t>MÓMPOX</t>
  </si>
  <si>
    <t>CONTRATAR  EL MANTENIMIENTO DE LAS INSTALACIONES ADMINISTRATIVAS DEL AEROPUERTO LAS FLORES DE EL BANCO MAGDALENA</t>
  </si>
  <si>
    <t>SE REQUIERE ADICIONAR EN VALOR Y PLAZO EL CONTRATO N. 15000033 OT CUYO OBJETO CORRESPONDE A CONTRATAR EL MANTENIMIENTO Y ADECUACIÓN DE LAS INSTALACIONES DEL ALMACÉN DEL AEROPUERTO ERNESTO CORTISSOZ DE BARRANQUILLA</t>
  </si>
  <si>
    <t>SE REQUIERE ADICIONAR EN VALOR DEL CONTRATO N. 15000049OT CUYO OBJETO ES CONTRATAR EL MANTENIMIENTO Y ADECUACIÓN DE LAS INTALACIONES ADMINISTRATIVAS DE LOS AEROPUERTOS ALFONSO LOPEZ DE VALLEDUPAR Y ALMIRANTE PADILLA DE RIOHACHA CONSISTENTA EN LOS PUESTOS DE ATENCIÓN AL USUARIO</t>
  </si>
  <si>
    <t>ADICIONAR EN VALOR EL CONTRATO N. 15000053 OT CUYO OBJETO ES EL MANTENIMIENTO DE LAS OFICINAS ADMINISTRATIVAS DEL AEROPUERTO BARACOA DE MAGANGUE</t>
  </si>
  <si>
    <t>SE REQUIERE ADICIONAR EN VALOR EL CONTRATO N. 15000054 OT CUYO OBJETO ES  EL MANTENIMIENTO DE LAS INSTALACIONES ADMINISTRATIVAS DEL AEROPUERTO LAS FLORES DE EL BANCO MAGDALENA</t>
  </si>
  <si>
    <t>CONTRATRA EL MANTENIMIENTO DE LOS BAÑOS DE LAS ÁREAS ADMINISTRATIVAS Y LAS OFICINAS DE LA OIA DE LA DIRECCIÓN REGIONAL ATLÁNTICO.</t>
  </si>
  <si>
    <t>SER REQUIERE ADICIONAR EN VALOR EL CONTRATO N° 15000073OT CUYO OBJETO ES CONTRATRA EL MANTENIMIENTO DE LOS BAÑOS DE LAS AREAS ADMISNISTRATIVAS Y LAS OFICINAS DE LA OIA DE LA DIRECCION REGIONAL ATLANTICO.</t>
  </si>
  <si>
    <t>CONTRATAR EL MANTENIMIENTO Y ADECUACIÓN DE LAS INSTALACIONES DEL ARCHIVO DEL AEROPUERTO ERNESTO CORTISSOZ DE LA REGIONAL ATLÁNTICO</t>
  </si>
  <si>
    <t>CONTRATAR EL MANTENIMIENTO Y ADECUACIÓN DE LAS OFICINAS ADMINISTRATIVAS DE LA AEROCIVIL Y LAS OFICINAS DEL AEROPUERTO ERNESTO CORTISSOZ DE LA REGIONAL ATLÁNTICO</t>
  </si>
  <si>
    <t>ADICION EN VALOR CONTRATO 15000084 OT CUYO OBJETO ES CONTRATAR EL MANTENIMIENTO Y ADECUACIÓN DE LAS INSTALACIONES DEL ARCHIVO DEL AEROPUERTO ERNESTO CORTISSOZ DE LA REGIONAL ATLÁNTICO</t>
  </si>
  <si>
    <t>ADICION EN VALOR CONTRATO 15000085 OT CUYO VALOR ES CONTRATAR EL MANTENIMIENTO Y ADECUACIÓN DE LAS OFICINAS ADMINISTRATIVAS DE LA AEROCIVIL Y LAS OFICINAS DEL AEROPUERTO ERNESTO CORTISSOZ DE LA REGIONAL ATLÁNTICO</t>
  </si>
  <si>
    <t>CONTRATAR EL MANTENIMIENTO DE LAS INSTALACIONES ADMINISTRATIVAS DEL AEROPUERTO LAS MERCEDES DE PLATO</t>
  </si>
  <si>
    <t>SE REQUIERE ADICIONAR EN VALOR EL CONTRATO N.  15000235 OH CUYO OBJETO ES CONTRATAR EL MANTENIMIENTO DE LAS OFICINAS ADMINISTRATIVAS DEL AEROPUERTO SAN BERNARDO DE MÓMPOX</t>
  </si>
  <si>
    <t>CONTRATAR LA ADQUISICIÓN DE REPUESTOS PARA LOS BANCOS DE BATERÍAS DE LA REGIONAL ATLÁNTICO</t>
  </si>
  <si>
    <t>CONTRATAR LA ADQUISICIÓN DE CARGADORES DE BATERÍAS</t>
  </si>
  <si>
    <t>CONTRATAR EL MANTENIMIENTO DE UPS PARA LA REGIONAL ATLÁNTICO</t>
  </si>
  <si>
    <t xml:space="preserve"> CONTRATAR LA ADQUISICION DE EQUIPOS EXTINTORES PORTATILES PARA LOS AEROPUERTOS DE LA REGIONAL ATLANTICO</t>
  </si>
  <si>
    <t>ADQUISICIÓN DE ELEMENTOS PARA LA REALIZACION DE SIMULACROS SEI. AEROPUERTOS DE SANTA MARTA, RIOHACHA Y VALLEDUPAR</t>
  </si>
  <si>
    <t>21 DE oct /15</t>
  </si>
  <si>
    <t>CONTRATAR EL MANTENIMIENTO PREVENTIVO Y CORRECTIVO DE LOS VEHICULOS SAR DE LOS AEROPUERTO ERNESTO CORTISSOZ DE BARRANQUILLA Y ALFONSOLOPEZ DE VALLEDUPAR</t>
  </si>
  <si>
    <t>ADQUISICION DE COMBUSTIBLES Y LUBRICANTES SEI SAR</t>
  </si>
  <si>
    <t>CONTRATAR EL SUMINISTRO DE COMBUSTIBLES Y LUBRICANTES PARA LAS MAQUINAS DE BOMBEROS Y VEHICULOS SEI Y SAR DEL AEROPUERTO GUSTAVO ROJAS PINILLA DE SAN ANDRES Y EL EMBRUJO DE PROVIDENCIA</t>
  </si>
  <si>
    <t>CONTRATAR LA ADQUISICION DE COMBUSTIBLES DESTINADOS A LAS MAQUINAS Y VEHICULOS DE BOMBEROS SEI SAR SEL APTO ALFONSO LOPEZ DE VALLEDUPAR.</t>
  </si>
  <si>
    <t>CONTRATAR LA ADQUISICION DE COMBUSTIBLES DESTINADOS A LAS MAQUINAS Y VEHICULOS DE BOMBEROS SEI SAR SEL APTO GOLFO DE MORROSQUILLO DE TOLU.</t>
  </si>
  <si>
    <t>LA ADQUISICION DE COMBUSTIBLES Y LUBRICANTES DESTINADOS A LAS MAQUINAS Y VEHICULOS SEI SAR DEL AEROPUERTO AERNESTO CORTISSOZ DE BARRANQUILLA ADSCRITO A LA REGIONAL ATLANTICO.</t>
  </si>
  <si>
    <t>LA ADQUISICION DE COMBUSTIBLE DESTINADO A LAS MAQUINAS Y VEHICULOS SEI SAR DEL AEROPUERTO ALMIRANTE PADILLA DE RIOHACHA ADSCRITO A LA REGIONAL ATLANTICO.</t>
  </si>
  <si>
    <t>CONTRATAR LA ADQUISICION DE COMBUSTIBLE DESTINADO A LAS MAQUINAS DE BOMBEROS Y VEHICULOS SEI SAR DEL AEROPUERTO SIMON VOLIVAR DE SANTA MARTA</t>
  </si>
  <si>
    <t>SANTA  MARTA</t>
  </si>
  <si>
    <t>MANTENIMIENTO Y CONSERVACION DE EQUIPOS Y SISTEMAS AEROPORTUARIOS A</t>
  </si>
  <si>
    <t>MANTENIMIENTO PREVENTIVO YCORRECTIVO DE EQUIPOS PARA LOS SISTEMAS AEROPORTUARIOS</t>
  </si>
  <si>
    <t>CONTRATAR EL MANTENIMIENTO Y CONSERVACIÓN DE LOS EQUIPOS ELÉCTRICOS Y SISTEMAS ELECTROMECÁNICOS INSTALADOS EN EL AEROPUERTO GUSTAVO ROJAS PINILLA DE SAN ANDRÉS INCLUYENDO EL SUMINISTRO DE MATERIALES, REPUESTOS, INSUMOS Y MANO DE OBRA</t>
  </si>
  <si>
    <t>CONTRATAR EL MANTENIMIENTO PREVENTIVO Y CORRECTIVO DE LOS SISTEMAS DE AIRE ACONDICIONADO DE LOS AEROPUERTOS DE LA REGIONAL ATLÁNTICO INCLUYENDO EL AEROPUERTO DE BARRANQUILLA, CONTEMPLA EL SUMINISTRO DE REPUESTOS</t>
  </si>
  <si>
    <t>CONTRATAR EL MANTENIMIENTO Y SOPORTE TÉCNICO ESPECIALIZADO A LOS SISTEMAS AEROPORTUARIOS DE INFORMACIÓN DE VUELOS FIDS, BIDS Y GIDS Y SISTEMAS DE IDENTIFICACIÓN DEL AEROPUERTO GUSTAVO ROJAS PINILLA DE SAN ANDRÉS</t>
  </si>
  <si>
    <t>CONTRATAR EL SERVICIO DE MANTENIMIENTO PREVENTIVO DE LOS ASCENSORES Y ESCALERAS ELÉCTRICAS UBICADAS EN EL AEROPUERTO INTERNACIONAL ERNESTO CORTISSOZ</t>
  </si>
  <si>
    <t>DIRECCION REGIONAL</t>
  </si>
  <si>
    <t xml:space="preserve">Adquisicion de bombilleria areas publicas Aeropuerto de la Regional Atlantico </t>
  </si>
  <si>
    <t>Saldo</t>
  </si>
  <si>
    <t xml:space="preserve">Adquisicion de herramientas para el mantenimiento de sistemas mecanicos  Regional Atlantico </t>
  </si>
  <si>
    <t>CONTRATAR LA ADQUISICIÓN DE HERRAMIENTAS PARA EL MANTENIMIENTO DE SISTEMAS MECÁNICOS</t>
  </si>
  <si>
    <t>CONTRATAR LA ADQUISICIÓN DE HERRAMIENTAS PARA EL MANTENIMIENTO DE SISTEMAS ELECTRÓNICOS Y ELÉCTRICOS</t>
  </si>
  <si>
    <t>CONTRATAR EL MANTENIMIENTO, CONSERVACIÓN Y ACTUALIZACIÓN DE LOS SISTEMAS DE RADAR INSTALADOS EN LA REGIONAL ATLÁNTICO MEDIANTE LA REPARACIÓN Y PUESTA A PUNTO DE LOS MÓDULOS DEL RECEPTOR RADAR PRIMARIO MA, TA, CE, MI, TI, PE, FO, BE, BE, CE, MU, FE, TO, TE Y COHO</t>
  </si>
  <si>
    <t>CONTRATAR LA ADQUISICIÓN DE REPUESTOS PARA EL MANTENIMIENTO, CONSERVACIÓN Y ACTUALIZACIÓN DE LOS SISTEMAS DE RADAR INSTALADOS EN LA REGIONAL ATLÁNTICO</t>
  </si>
  <si>
    <t>CONTRATAR EL MANTENIMIENTO DE LA ESTACIÓN RADAR DE CERRO TUBARA CONSISTENTE EN LA LIMPIEZA Y DESCONTAMINACIÓN DEL RADON DEL SISTEMA DE ANTENA</t>
  </si>
  <si>
    <t>ANTENA</t>
  </si>
  <si>
    <t>CONTRATAR LA ACTUALIZACIÓN DEL SISTEMA SIPRA INSTALADO EN LA ESTACIÓN RADAR DE TUBARA</t>
  </si>
  <si>
    <t>CONTRATAR LA ACTUALIZACIÓN DEL SISTEMA SIPRA INSTALADO EN LA ESTACIÓN RADAR CERRO MACO</t>
  </si>
  <si>
    <t>CONTRATAR EL MANTENIMIENTO DE ANTENAS DEL SISTEMA RADAR DE LA ESTACIÓN DE CERRO MACO</t>
  </si>
  <si>
    <t>CONTRATAR LOS SERVICIOS DE MANTENIMIENTO PREVENTIVO Y CORRECTIVO DE LOS SISTEMAS DE TELEFONÍA (PLANTA TELEFÓNICA, DISTRIBUIDOR TELEFÓNICO, TELEFONOS DIRECTOS Y EXTENSIONES), RED DE DATOS EN CAPA 2 (AMHS, PAF, JDE, FIDS, METEOROLOGÍA), COMUNICACIONES AEROPORTUARIAS Y SISTEMAS DE INFORMACIÓN DE VUELOS</t>
  </si>
  <si>
    <t>CONTRATAR EL MANTENIMIENTO, ADECUACIÓN, TRASLADO E IMPLEMENTACIÓN DEL SISTEMA VHF-ALC-EXT ENTRE LAS ESTACIONES DE ALGUACIL Y BAÑADEROS EN LA REGIONAL ATLÁNTICO</t>
  </si>
  <si>
    <t>CONTRATAR LA ACTUALIZACIÓN, INSTALACIÓN Y PUESTA EN FUNCIONAMIENTO DE EQUIPOS DE ENLACES TERRESTRES DE MICROONDAS ENTRE LAS ESTACIONES DE CERRO MACO-TURBACO-AEROPUERTO RAFAEL NUÑEZ DE CARTAGENA</t>
  </si>
  <si>
    <t>CONTRATAR LA ACTUALIZACIÓN DEL SISTEMA SIPRA INSTALADO EN LA TORRE DE CONTROL DEL AEROPUERTO ERNESTO CORTISSOZ DE BARRANQUILLA</t>
  </si>
  <si>
    <t>CONTRATAR EL MANTENIMIENTO Y CONSERVACIÓN DE LA INFRAESTRUCTURA DE LOS EQUIPOS DE RADIOAYUDAS INSTALADOS EN EL AEROPUERTO ERNESTO CORTISSOZ DE BARRANQUILLA</t>
  </si>
  <si>
    <t>CONTRATAR EL MANTENIMIENTO Y CONSERVACIÓN DE LA SUBESTACIÓN DE ENERGÍA CONSISTENTE EN LAS INSTALACIONES DE MEDIA TENSIÓN, BAJA TENSIÓN Y SISTEMAS ELECTROMECÁNICOS, INCLUYE EL MANTENIMIENTO DE LA ILUMINACIÓN DE PLATAFORMA Y ALUMBRADO PÚBLICO DEL AEROPUERTO INTERNACIONAL ERNESTO CORTISSOZ</t>
  </si>
  <si>
    <t>CONTRATAR EL SERVICIO DE MANTENIMIENTO PREVENTIVO, CORRECTIVO, CONSERVACIÓN Y ACTUALIZACIÓN DE LOS SISTEMAS DE ENERGÍA, SISTEMAS MECÁNICOS Y COMPLEMENTARIOS INSTALADOS EN LOS AEROPUERTOS DE SAN ANDRÉS Y PROVIDENCIA</t>
  </si>
  <si>
    <t>CONTRATAR EL MANTENIMIENTO PREVENTIVO, CORRECTIVO, CONSERVACIÓN Y ACTUALIZACIÓN DE LOS SISTEMAS DE AIRE ACONDICIONADO INSTALADOS EN LA SALA N. 2 NACIONAL Y SALA 4 INTERNACIONAL DEL AEROPUERTO DE SAN ANDRÉS ISLA</t>
  </si>
  <si>
    <t>SE REQUIERE ADICIONAR EN VALOR EL CONTRATO N. 15000446 OC CONSISTENTE EN CONTRATAR EL SERVICIO DE MANTENIMIENTO PREVENTIVO, CORRECTIVO, CONSERVACIÓN Y ACTUALIZACIÓN DE LOS SISTEMAS DE ENERGÍA, SISTEMAS MECÁNICOS Y COMPLEMENTARIOS INSTALADOS EN LOS AEROPUERTOS DE SAN ANDRÉS Y PROVIDENCIA</t>
  </si>
  <si>
    <t>SE REQUIERE ADICIONAR EN VALOR EL CONTRATO N. 15000589 OC CUYO OBJEO ES CONTRATAR EL MANTENIMIENTO PREVENTIVO, CORRECTIVO, CONSERVACIÓN Y ACTUALIZACIÓN DE LOS SISTEMAS DE AIRE ACONDICIONADO INSTALADOS EN LA SALA N. 2 NACIONAL Y SALA 4 INTERNACIONAL DEL AEROPUERTO DE SAN ANDRÉS ISLA</t>
  </si>
  <si>
    <t>CONTRATAR EL MANTENIMIENTO DEL SISTEMA DE CONTROL REMOTO DE AYUDAS VISUALES A TRAVES DE LA REPOSICIÓN DE LLAVE CON LICENCIA DE SOFTWARE DE CONTROL</t>
  </si>
  <si>
    <t>CONTROL</t>
  </si>
  <si>
    <t>CONTRATAR EL MANTENIMIENTO DE LAS ESCALERAS ELÉCTRICAS UBICADAS EN EL AEROPUERTO INTERNACIONAL GUSTAVO ROJAS PINILLA CONSISTENTE EN CAMBIO DE PASARELA LATERAL</t>
  </si>
  <si>
    <t>LATERAL</t>
  </si>
  <si>
    <t>CONTRATAR EL MANTENIMIENTO, CONSERVACIÓN Y ACTUALIZACIÓN DE LOS SISTEMAS DE ENERGÍA INSTALADOS EN LAS ESTACIONES DE CERRO KENNEDY, TUBARA Y CERRO MACO, BAJO LA MODALIDAD DE OUTSOURCING</t>
  </si>
  <si>
    <t>CONTRATAR EL MANTENIMIENTO, CONSERVACIÓN Y ACTUALIZACIÓN DE LOS SISTEMAS INSTALADOS EN LAS ESTACIONES AERONÁUTICAS DE MALAMBO Y POLONIUEVO</t>
  </si>
  <si>
    <t>CONTRATAR EL MANTENIMIENTO DEL GRUPO ELECTRÓGENO DE LA ESTACIÓN DE RADIOAYUDAS DE SEVILLANO</t>
  </si>
  <si>
    <t>ATLÁNTICO</t>
  </si>
  <si>
    <t>CONTRATAR EL SERVICIO DE MANTENIMIENTO PREVENTIVO Y CORRECTIVO CON SUMINISTRO DE REPUESTO PARA LOS VEHÍCULOS ADSCRITOS AL GRUPO DE SOPORTE TÉCNICO DE LA REGIONAL ATLÁNTICO (SERVICIO OUTSOURCING)</t>
  </si>
  <si>
    <t>SE REQUIERE ADICIONAR EN VALOR EL CONTRATO N. 15000274 OC CUYO OBJETO CONSISTE EN CONTRATAR EL SERVICIO DE MANTENIMIENTO PREVENTIVO Y CORRECTIVO CON SUMINISTRO DE REPUESTO PARA LOS VEHÍCULOS ADSCRITOS AL GRUPO DE SOPORTE TÉCNICO DE LA REGIONAL ATLÁNTICO (SERVICIO OUTSOURCING)</t>
  </si>
  <si>
    <t>CONTRATAR EL SUMINISTRO DE COMBUSTIBLE DESTINADO A LOS VEHÍCULOS ASIGNADOS AL GRUPO DE SOPORTE TÉCNICO DE LA REGIONAL ATLÁNTICO CON BASE EN BARRANQUILLA</t>
  </si>
  <si>
    <t>CONTRATAR EL SUMINISTRO DE COMBUSTIBLE DESTINADO A LOS GRUPOS ELECTRÓGENOS, VEHÍCULOS DE INSPECCIÓN DE RAMPA Y VEHÍCULOS DE SOPORTE TÉCNICO UBICADOS EN EL AEROPUERTO DE SAN ANDRÉS ISLA</t>
  </si>
  <si>
    <t>CONTRATAR EL SUMINISTRO DE COMBUSTIBLE DESTINADO A LOS GRUPOS ELECTRÓGENOS DEL AEROPUERTO INTERNACIONAL ERNESTO CORTISSOZ</t>
  </si>
  <si>
    <t>CONTRATAR EL SUMINISTRO DE COMBUSTIBLE DESTINADO A LOS GRUPOS ELECTRÓGENOS DE LA ESTACIÓN RADAR DE TUBARA</t>
  </si>
  <si>
    <t>CONTRATAR EL SUMINISTRO DE COMBUSTIBLE DESTINADO AL GRUPO ELECTRÓGENO DE LA CASA EMISORA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</si>
  <si>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</si>
  <si>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</si>
  <si>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</si>
  <si>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</si>
  <si>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</si>
  <si>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AL GRUPO ELECTRÓGENO DE LA ESTACIÓN DE RADIOAYUDAS DE POLONUEVO</t>
  </si>
  <si>
    <t>CONTRATAR EL SUMINISTRO DE COMBUSTIBLE DESTINADO A LOS GRUPOS ELECTRÓGENOS DE LA ESTACIÓN DE RADIOAYUDAS DE LA PAZ</t>
  </si>
  <si>
    <t>CONTRATAR EL SUMINISTRO DE COMBUSTIBLE DESTINADO A LOS GRUPOS ELECTRÓGENOS DE LAS ESTACIONES DE RADIOAYUDAS DE PARICUICA Y LA CASONA</t>
  </si>
  <si>
    <t>CONTRATAR EL SUMINISTRO DE COMBUSTIBLE DESTINADO AL GRUPO ELECTRÓGENO DEL AEROPUERTO GOLFO DE MORROSQUILLO</t>
  </si>
  <si>
    <t xml:space="preserve">PARICUICA Y LA CASONA. </t>
  </si>
  <si>
    <t>CONTRATAR EL SUMINISTRO DE COMBUSTIBLE DESTINADO A LOS VEHÍCULOS ASIGNADOS AL GRUPO DE SOPORTE TÉCNICO</t>
  </si>
  <si>
    <t xml:space="preserve">LA PAZ </t>
  </si>
  <si>
    <t>CONTRATAR LA ADQUISICIÓN DE LUBRICANTES E INSUMOS PARA LOS GRUPOS ELECTRÓGENOS Y VEHÍCULOS ADSCRITOS AL GRUPO DE SOPORTE TÉCNICO DE LA REGIONAL ATLÁNTICO</t>
  </si>
  <si>
    <t>AEROPUERTOS DE SAN ANDRES  Y PROVIDENCIA</t>
  </si>
  <si>
    <t>CONTRATAR EL SUMINISTRO DE COMBUSTIBLE DESTINADO A LOS GRUPOS ELECTRÓGENOS DEL AEROPUERTO Y ESTACIÓN DE RADIOAYUDAS DE EL BANCO</t>
  </si>
  <si>
    <t xml:space="preserve"> ESTACION RADIOAYUDAS DEL BANCO</t>
  </si>
  <si>
    <t>CONTRATAR EL SUMINISTRO DE COMBUSTIBLE DESTINADO A LAS ESTACIONES AERONÁUTICAS DE POLONUEVO, TUBARA, SEVILLANO, CERRO KENNEDY Y CERRO MACO</t>
  </si>
  <si>
    <t xml:space="preserve">ESTACIONES  AERONAUTICAS DE POLONUEVO, CERRO KENNEDY  Y CERRO MACO </t>
  </si>
  <si>
    <t>CONTRATAR EL SUMINISTRO DE COMBUSTIBLE DESTINADO A LOS GRUPOS ELECTRÓGENOS Y VEHÍCULOS DE LOS AEROPUERTOS DE SAN ANDRÉS ISLA Y PROVIDENCIA</t>
  </si>
  <si>
    <t>Atlantico</t>
  </si>
  <si>
    <t>CONTRATAR LA ADQUISICIÓN DE REPUESTOS PARA LOS SISTEMAS DE AYUDAS VISUALES DE LOS AEROPUERTOS A CARGO DE LA REGIONAL ATLÁNTICO</t>
  </si>
  <si>
    <t>CONTRATAR EL SUMINISTRO DE REPUESTOS ELÉCTRICOS PARA EL MANTENIMIENTO DE LOS SISTEMAS DE ENERGÍA, TELECOMUNICACIONES, SISTEMAS DE RADIOAYUDAS Y SISTEMAS COMPLEMENTARIOS DE LA REGIONAL ATLÁNTICO BAJO LA MODALIDAD DE OUTSOURCING</t>
  </si>
  <si>
    <t>CONTRATAR LA ADQUISICIÓN DE REPUESTOS ELECTRÓNICOS PARA EL MANTENIMIENTO DE LOS SISTEMAS DE COMUNICACIONES, RADAR, RADIOAYUDAS, DISPONIBLES EN LAS ESTACIONES Y AEROPUERTOS DE LA REGIONAL ATLÁNTICO POR EL SISTEMA DE PRECIOS UNITARIOS FIJOS A TRAVÉS DE LA MODALIDAD DE OUTSOURCING</t>
  </si>
  <si>
    <t>CONTRATAR LA ADQUISICIÓN DE CABLE DE COBRE PARA USO SUBTERRANEO, CLASE C, AISLADOS EN XLPE 90°c SIN APANTALLAMIENTO, 5 kV</t>
  </si>
  <si>
    <t>CONTRATAR LA ADQUISICIÓN E INSTALACIÓN DE MODULOS AVIAT ECLIPSE PARA LA OPTIMIZACIÓN DE LOS ENLACES DE LA RED DE MICROONDAS STRATEX RIOHACHA-BAÑADEROS-CERRO KENNEDY-SANTA MARTA</t>
  </si>
  <si>
    <t>SE REQUIERE ADICIONAR EN VALOR EL CONTRATO N. 15000227 OC CUYO OBJETO CORRESPONDE A CONTRATAR EL SUMINISTRO DE REPUESTOS ELÉCTRICOS PARA EL MANTENIMIENTO DE LOS SISTEMAS DE ENERGÍA, TELECOMUNICACIONES, SISTEMAS DE RADIOAYUDAS Y SISTEMAS COMPLEMENTARIOS DE LA REGIONAL ATLÁNTICO BAJO LA MODALIDAD DE O</t>
  </si>
  <si>
    <t>CONTRATAR EL SUMINISTRO DE REPUESTOS ELÉCTRICOS PARA EL MANTENIMIENTO DE LOS SISTEMAS DE TELECOMUNICACIONES, SISTEMASD DE RADIOAYUDAS Y SISTEMAS COMPLEMENTARIOS DE LOS AEROPUERTOS DE SAN ANDRÉS Y PROVIDENCIA</t>
  </si>
  <si>
    <t>CONTRATAR LA ADQUISICIÓN DE ANTENAS, CABLES Y CONECTORES PARA EL MANTENIMIENTO Y ADECUACIÓN DE LOS SISTEMAS DE COMUNICACIONES VHF-ER DE LA REGIONAL ATLÁNTICO</t>
  </si>
  <si>
    <t>SE REQUIERE ADICIONAR EN VALOR EL CONTRATO N. 15000697 OC CUYO OBJETO ES CONTRATAR LA ADQUISICIÓN DE ANTENAS, CABLES Y CONECTORES PARA EL MANTENIMIENTO Y ADECUACIÓN DE LOS SISTEMAS DE COMUNICACIONES VHF-ER DE LA REGIONAL ATLÁNTICO</t>
  </si>
  <si>
    <t>CONTRATAR LA ADQUISICIÓN DE REPUESTOS PARA LOS SISTEMAS AERONÁUTICOS Y AEROPORTUARIOS DE LA REGIONAL ATLÁNTICO</t>
  </si>
  <si>
    <t>Contratar la adquisición de equipos de aire acondicionado tipo ventana</t>
  </si>
  <si>
    <t>MANTENINETNO EQUIPOS DE SEGURIDAD AEROPORTUARIA</t>
  </si>
  <si>
    <t>63,500,000</t>
  </si>
  <si>
    <t>CONTRATAR EL MANTENIMIENTO PREVENTIVO Y CORRECTIVO DEL CIRCUITO CERRADO DE TELEVISION DEL GUSTAVO ROJAS PINILLA DE SAN ANDRES.</t>
  </si>
  <si>
    <t>ADQUISICIÓN DE COMBUSTIBLE DESTINADO A LAS AMBULANCIAS DEL AEROPUERTO ROJAS PINILLA DE SAN ANDRES.</t>
  </si>
  <si>
    <t>ANDRES</t>
  </si>
  <si>
    <t>CONTRATAR LA RECOLECCION DE LOS RESIDUOS HOSPITALARIOS Y BIOSANITARIOS DEL AEROPUERTO DE SAN ANDRES.</t>
  </si>
  <si>
    <t>CONTRATAR EL MANTENIMIENTO DE LOS EQUIPOS MEDICOS DE LA SANIDAD AEROPORTUARIA DE SAN ANDRES.</t>
  </si>
  <si>
    <t>JULIO6/15</t>
  </si>
  <si>
    <t>DESIERTO NO SE PUDO ADJUDICAR NO HUBO QUIEN HICIERA EL TRABAJO</t>
  </si>
  <si>
    <t>SALDO</t>
  </si>
  <si>
    <t>173,727,167</t>
  </si>
  <si>
    <t>LOS SERVICIOS DE VIGILANCIA TECNICA DESTINADOS AL APOYO DE LA GESTION DE LA ESTACION DEL RADIOFARO DE CIENEGA.</t>
  </si>
  <si>
    <t>CIENEGA</t>
  </si>
  <si>
    <t>LOS SERVICIOS DE VIGILANCIA TECNICA DESTINADOS AL APOYO DE LA GESTION DE LA ESTACION DEL VOR DE SEVILLANO.</t>
  </si>
  <si>
    <t>LOS SERVICIOS DE VIGILANCIA TECNICA DESTINADOS AL APOYO DE LA GESTION EN LA SUBESTACION DEL CAC BARRANQUILLA.</t>
  </si>
  <si>
    <t>LOS SERVICIOS DE VIGILANCIA TECNICA DESTINADOS AL APOYO DE LA GESTION EN LA ESTACION RADAR DE TUBARA.</t>
  </si>
  <si>
    <t>LOS SERVICIOS DE VIGILANCIA TECNICA DESTINADOS AL APOYO DE LA GESTION EN LA ESTACION DE LA CASA EMISORA DE BARRANQUILLA.</t>
  </si>
  <si>
    <t>DESISTIMIENTO DEL CONTRATO POR PARTE DEL CONTRATISTA.</t>
  </si>
  <si>
    <t>CONTRATISTA</t>
  </si>
  <si>
    <t>LOS SERVICIOS DE VIGILANCIA TECNICA DESTINADOS AL APOYO DE LA GESTION EN LA ESTACION RADAR DE CERRO KENNEDY.</t>
  </si>
  <si>
    <t>KENNEDY</t>
  </si>
  <si>
    <t>LOS SERVICIOS DE VIGILANCIA TECNICA DESTINADOS AL APOYO DE LA GESTION EN EL VOR DE LA ESTACION DE POLO NUEVO.</t>
  </si>
  <si>
    <t>NUEVO</t>
  </si>
  <si>
    <t>SE DECREMENTA POR DESISTIR DEL PROYECTO</t>
  </si>
  <si>
    <t>PROYECTO</t>
  </si>
  <si>
    <t>CONTRATAR LOS SERVICIOS DE VIGILANCIA TÉCNICA PARA LAS ESTACIONES AERONÁUTICAS DEL CERRO EL CABRITO, CERRO TODOS LOS SANTOS, CERRO ALGUACIL, CERRO BAÑADEROS Y CERRO LA BARRA, TENIENDO EN CUENTA SU COMPLEJIDAD DE UBICACIÓN GEOGRÁFICA</t>
  </si>
  <si>
    <t>LOS SERVICIOS DE VIGILANCIA TECNICA DESTINADOS AL APOYO DE LA GESTION DE LA SUESTACION DE MALAMBO.</t>
  </si>
  <si>
    <t>MALAMBO</t>
  </si>
  <si>
    <t>LOS SERVICIOS DE VIGILANCIA TECNICA DESTINADOS AL APOYO DE LA GESTION DE LA ESTACION RADAR DE CERRO MACO.</t>
  </si>
  <si>
    <t>LOS SERVICIOS DE VIGILANCIA TECNICA DESTINADOS AL APOYO DE LA GESTIONDEL VOR DE MAGANGUE.</t>
  </si>
  <si>
    <t>PERSONAL</t>
  </si>
  <si>
    <t>ADQUISICION DE EQUIPOS PARA EL DESARROLLO DE LOS EQUIPOS DE SALUD OCUPACIONAL.</t>
  </si>
  <si>
    <t>CONTRATAR LA ADQUISICION DE EQUIPOS DE APOYO AL PROGRAMA DE SALUD OCUPACIONAL PARA LOS AEROPUERTOS ERNESTO CORTISSOZ DE BARRANQUILLA Y RAFAEL NUÑEZ DE CARTAGENA</t>
  </si>
  <si>
    <t>ADICIÓN EN VALOR CONTRATO 15000393 OC CUYO OBJETO: CONTRATAR LA ADQUISICION DE EQUIPOS DE APOYO AL PROGRAMA DE SALUD OCUPACIONAL PARA LOS AEROPUERTOS ERNESTO CORTISSOZ DE BARRANQUILLA Y RAFAEL NUÑEZ DE CARTAGENA</t>
  </si>
  <si>
    <t xml:space="preserve">MANTENIMIENTO DE LOS EQUIPOS DE SALUD OCUPACIONAL </t>
  </si>
  <si>
    <t>CONTRATAR EL MANTENIMIENTO DE LOS EQUIPOS DE APOYO AL PROGRAMA DE SALUD OCUPACIONAL DE LOS GIMNASIOS DE LOS AEROPUERTOS DE BARRANQUILLA, CARTAGENA, SANTA MARTA Y VALLEDUPAR</t>
  </si>
  <si>
    <t>CONTRATAR EL MANTENIMIENTO CORRECTIVO DE LOS EQUIPOS DE APOYO AL PROGRAMA DE SALUD OCUPACIONAL DE LOS GIMNASIOS DE LOS AEROPUERTOS DE BARRANQUILLA, CARTAGENA Y VALLEDUPAR</t>
  </si>
  <si>
    <t>saldo</t>
  </si>
  <si>
    <t>CONTRATAR LA ADQUISICION DE ELEMENTOS DE CONFORT PARA LOS FUNCIONARIOS DE LOS AEROPUERTOS ADSCRIPTOS A LA REGIONAL ATLÁNTICO</t>
  </si>
  <si>
    <t>PROGRAMA DE PRIMEROS AUXILIOS</t>
  </si>
  <si>
    <t>CONTRATAR LA ADQUISICIÓN DE EQUIPOS Y ELEMENTOS DE PRIMEROS AUXILIOS PARA LAS BRIGADAS DE EMERGENCIA DE LA REGIONAL ATLANTICO</t>
  </si>
  <si>
    <t>ATLANTICO</t>
  </si>
  <si>
    <t>CONTRATAR LA ADQUISICION DE SEÑALIZACION DE EMERGENCIA PARA EL NUEVO CENTRO DE CONTROL DEL AEROPUERTO ERNESTO CORTISSOZ DE BARRANQUILLA</t>
  </si>
  <si>
    <t>CONTRATAR LA ADQUISICIÓN DE ELEMENTOS DEPORTIVOS PARA EL EQUIPO DE FÚTBOL DEL GRUPO ATS BARRANQUILLA</t>
  </si>
  <si>
    <t>CONTRATAR LAS ACTIVIDADES DE BIENSTAR SOCIAL CONSISTENTE EN VACACIONES RECREATIVAS, EVENTOS DEPORTIVOS, DOTACION, ACTIVIDADES PREPENSIONADOS DEL AEROPUERTO DE TOLU</t>
  </si>
  <si>
    <t>CONTRATAR LAS ACTIVIDADES DE BIENESTAR SOCIAL CONSISTENTE EN VACACIONES RECREATIVAS, EVENTOS DEPORTIVOS, DOTACION, ACTIVIDADES PREPENSIONADOS DEL AEROPUERTO ALFONSO LOPEZ DE VALLEDUPAR</t>
  </si>
  <si>
    <t>CONTRATAR LAS ACTIVIDADES DE BIENSTAR SOCIAL CONSISTENTE EN VACACIONES RECREATIVAS, EVENTOS DEPORTIVOS, DOTACION, ACTIVIDADES PREPENSIONADOS DEL AEROPUERTO DE CARTAGENA</t>
  </si>
  <si>
    <t>CONTRATAR LAS ACTIVIDADES DE BIENSTAR SOCIAL CONSISTENTE EN VACACIONES RECREATIVAS, EVENTOS DEPORTIVOS, DOTACION, ACTIVIDADES PREPENSIONADOS DEL AEROPUERTO DE RIOHACHA</t>
  </si>
  <si>
    <t>CONTRATAR LAS ACTIVIDADES DE BIENESTAR SOCIAL CONSISTENTE EN VACACIONES RECREATIVAS, EVENTOS DEPORTIVOS, DOTACIÓN, ACTIVIDADES PREPENSIONADOS DEL AEROPUERTO DE SAN ANDRES</t>
  </si>
  <si>
    <t>CONTRATAR LAS ACTIVIDADES DE BIENSTAR SOCIAL CONSISTENTE EN VACACIONES RECREATIVAS, EVENTOS DEPORTIVOS, DOTACION, ACTIVIDADES PREPENSIONADOS DEL AEROPUERTO DE COROZAL</t>
  </si>
  <si>
    <t>CONTRATAR EL APOYO LOGISTICO/INSCRIPCIÓN PARA CAMPEONATO DE SOFTBALL PARA EL EQUIPO DEL AEROPUERTO DE BARRANQUILLA</t>
  </si>
  <si>
    <t>CONTRATAR EL APOYO LOGISTICO PARA EVENTO DEPORTIVO PARA LOS BOMBEROS AERONAUTICOS DE LA REGIONAL ATLÁNTICO</t>
  </si>
  <si>
    <t>CONTRATAR EL APOYO LOGISTICO PARA EVENTO DEPORTIVO PARA LOS CONTROLADORES DE TRANSITO AEREO DE LA REGIONAL ATLÁNTICO</t>
  </si>
  <si>
    <t>CONTRATAR LAS ACTIVIDADES DE BIENESTAR DEL AEROPUERTO DE SANTA MARTA CONSISTENTE EN VACACIONES RECREATIVAS, DOTACION DEPORTIVA Y TALLERES PARA PREPENSIONADOS</t>
  </si>
  <si>
    <t>CONTRATAR LA ADQUISICION DE ROPA DEPORTIVA PARA LA PRACTICA DEPORTIVA PARA LOS FUNCIONARIOS DEL AEROPUERTO ERNESTO CORTISSOZ DE BARRANQUILLA</t>
  </si>
  <si>
    <t>CONTRATAR LA ADQUISICIÓN DE ELEMENTOSY ROPA DEPORTIVA PARA LOS FUNCIONARIOS BOMBEROS DE SAN ANDRES ISALAS Y PROVIDENCIA Y EQUIPO FEMENINO BARRANQUILLA</t>
  </si>
  <si>
    <t xml:space="preserve"> CONTRATAR LAS ACTIVIDADES DE ZUMBA FITNES WII PARA LOS FUNCIONARIOS DE BARRANQUILLA INCLUIDOS LOS ELELMENTOS NECESARIOS PARA EL DESARROLLO DEL PROGRAMA.</t>
  </si>
  <si>
    <t>PROGRAMA</t>
  </si>
  <si>
    <t>ADICIONAR EN VALOR DEL CONTRATO 15001229 OC CUYO OBJETO ES CONTRATAR LAS ACTIVIDADES DE ZUMBA FITNES WII PARA LOS FUNCIONARIOS DE BARRANQUILLA INCLUIDOS LOS ELELMENTOS NECESARIOS PARA EL DESARROLLO DEL PROGRAMA.</t>
  </si>
  <si>
    <t>LAS ACTIVIDADES DE BIENESTAR SOCIAL CONSISTENTE EN VACACIONES RECREATIVAS PARA LOS HIJOS DE LOS FUNCIONARIOS BARRANQUILLA</t>
  </si>
  <si>
    <t>CONTRATAR LAS VACACIONES RECREATIVAS DE FIN DE AÑO PARA LOS HIJOS DE LOS FUNCIONARIOS DEL AEROPUERTO BARRANQUILLA</t>
  </si>
  <si>
    <t>14,733,983</t>
  </si>
  <si>
    <t>CONTRATAR LAS ACTIVIDADES DE BIENESTAR SOCIAL CONSISTENTE EN UN TALLER PARA LOS PREPENSIONADOS DEL AEROPUERTO DE BARRANQUILLA</t>
  </si>
  <si>
    <t>CONTRATAR LA ADQUISICIÓN DE SERVICIOS MÉDICOS PARA DAR APOYO AL PROGRAMA DE SALUD OCUPACIONAL EN LOS AEROPUERTOS Y ESTACIONES DE LA REGIONAL ATLÁNTICO</t>
  </si>
  <si>
    <t>ADICION EN VALOR Y CANTIDADES DEL CONTRATO 1500085 OI CUYO OBJETO ES:CONTRATAR LA ADQUISICIÓN DE SERVICIOS MÉDICOS PARA DAR APOYO AL PROGRAMA DE SALUD OCUPACIONAL EN LOS AEROPUERTOS Y ESTACIONES DE LA REGIONAL ATLÁNTICO</t>
  </si>
  <si>
    <t>ADICIÓN EN VALOR DE CONTRATO No. 15000085 OH CUYO OBJETO ES CONTRATAR LA ADQUISICIÓN DE SERVICIOS MÉDICOS PARA DAR APOYO AL PROGRAMA DE SALUD OCUPACIONAL EN LOS AEROPUERTOS Y ESTACIONES DE LA REGIONAL ATLÁNTICO</t>
  </si>
  <si>
    <t>ADQUSICION DE PROGRAMAS INTERVENCION DE LAS EPIDEMIOLOGICAS</t>
  </si>
  <si>
    <t>63,926,390</t>
  </si>
  <si>
    <t>CONTRATAR LA INTERVENCIÓN DE LOS FACTORES DE RIESGO OSTEOMUSCULAR A LOS FUNCIONARIOS DEL AEROPUERTO ERNESTO CORTISSOZ DE BARRANQUILLA.</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</si>
  <si>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</si>
  <si>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CONTRATAR ACTIVIDADES Y TALLERES PARA LA INTERVENCION Y FORTALECIMIENTO DEL CLIMA LABORAL DE LA DIRECCIÓN REGIONAL ATLÁNTICO</t>
  </si>
  <si>
    <t>CONTRATAR LA ADQUISICIÓN DE SERVICIOS DE ACONDICIONAMIENTO FISICO PARA DAR APOYO AL PROGRAMA DE SALUD OCUPACIONAL EN LSO AEROPUERTOS ERNESTO CORTISSOZ DE BARRANQUILLA Y RAFAEL NUÑEZ DE CARTAGENA</t>
  </si>
  <si>
    <t>CONTRATAR LOS MONITOREOS DE AGUA POTABLE Y AGUA RESIDUAL DEL AEROPUERTO GOLFO DE MORROSQUILLO DE TOLÚ</t>
  </si>
  <si>
    <t>TRAMITES DE EVALUACION AUTORIDADES AMBIENTALES.ANTE</t>
  </si>
  <si>
    <t>CONTRATAR EL TRAMITE DE EVALUACION ANTE AUTORIDAD AMBIENTAL.</t>
  </si>
  <si>
    <t>AMBIENTAL</t>
  </si>
  <si>
    <t xml:space="preserve"> CONTRATAR EL SERVICIO DE ENSEÑANZA DE INGLES TECNICO A TRAVES DE UN DOCENTE EN EL AREA DE INGLES PARA DESARROLAR EL PROGRAMA ACADEMICO DE EDUCACION CONTINUADA DEL CEA DE ACUERDO A LO DISPUESTO POR LA OACI A LOS FUNCIONARIOS DEL GRUPO DE AERONAVEGACION, AIS/COM/MET Y BOMBEROS DEL AEROPUERTO DE BARRA</t>
  </si>
  <si>
    <t>CONTRATAR EL SERVICIO DE ENSEÑANZA DE INGLES TECNICO A TRAVES DE UN DOCENTE EN EL AREA DE INGRLES PARA DESARROLLAR EL PROGRAMA ACADEMICO DE EDUCACION CONTINUADA DEL CEA DE ACUERDO A LO DISPUESTO POR LA OACI A LOS FUNCIOANRIOS DEL GRUPO DE AERONAVEGACION Y ATENCION AL USUARIO DEL AEROPUERTO DE CARTAG</t>
  </si>
  <si>
    <t>CONTRATAR EL SERVICIO DE ENSEÑANZA DE INGLES TECNICO A TRAVES DE UN DOCENTE EN EL AREA DE INGLES PARA DESARROLLAR EL PROGRAMA ACADEMICO DE EDUCACION CONTINUADA DEL CEA DE ACUERDO A LO DISPUESTO POR LA OACI A LOS FUNCIONARIOS DEL GRUPO DE AERONAVEGACION DEL AEROPUERTO DE SAN ANDRES</t>
  </si>
  <si>
    <t>CONTRATAR EL SERVICIO DE ENSEÑANZA DE INGLES TECNICO A TRAVES DE UN DOCENTE EN EL AREA DE INGLES PARA DESARROLLAR EL PROGRAMA ACADEMICO DE EDUCACION CONTINUADA DEL CEA DE ACUERDO A LO DISPUESTO POR LA OACI A LOS FUNCIONARIOS DEL GRUPO DE AERONAVEGACION DEL AEROPUERTO DE SANTA MARTA</t>
  </si>
  <si>
    <t>CONTRATAR EL SERVICIO DE ENSEÑANZA DE INGLES TECNICO A TRAVES DE UN DOCENTE EN EL AREA DE INGLES PARA DESARROLLAR EL PROGRAMA ACADEMICOS DE EDUCACION CONTINUADA DEL CEA A LOS FUNCIONARIOS DEL GRUPO DE SOPORTE TECNICO DEL AEROPUERTO DE BARRANQUILLA</t>
  </si>
  <si>
    <t>DOCENTE EN</t>
  </si>
  <si>
    <t>CONTRATAR LOS EXAMENES DE AEROMEDICA Y LAS CERTIFICACION DEL PERSONAL DEL GRUPO DE AERONAVEGACION ADSCRITOS A LA REGIONAL ATLANTICO</t>
  </si>
  <si>
    <t>CONTRATAR LOS EXAMENES DE AEROMEDICA Y LAS CERTIFICACION DEL PERSONAL DEL GRUPO DE BOMBEROS AERONAUTICOS ADSCRITOS A LA REGIONAL ATLANTICO</t>
  </si>
  <si>
    <t>CONTRATAR LOS EXAMENES AEROMEDICOS Y LAS CERTIFICACIONES DEL PERSONAL DEL GRUPO DE AIS/COM/MET ADSCRITOS A LA REGIONAL ATLÁNTICO</t>
  </si>
  <si>
    <t>POR SOLICITUD DEL SUPERVISOR DEL CONTRATO Y VISTO B° DE LA DIR. REG (E) SE REQUIERE ADICIONAR EN VALOR EL CONTRATO 15000306OC CUYO OBJETO ES CONTRATAR LOS EXAMENES DE AEROMEDICA Y LAS CERTIFICACION DEL PERSONAL DEL GRUPO DE BOMBEROS AERONAUTICOS ADSCRITOS A LA REGIONAL ATLANTICO</t>
  </si>
  <si>
    <t>POR SOLICITUD DEL SUPERVISOR DEL CONTRATO Y VISTO B° DEL DIR. REGIONAL SE REQUIERE ADICIONAL EN VALOR DEL CTO 15000306OC CUYO OBJETO ES CONTRATAR LOS EXAMENES DE AEROMEDICA Y LAS CERTIFICACION DEL PERSONAL DEL GRUPO DE BOMBEROS AERONAUTICOS ADSCRITOS A LA REGIONAL ATLANTICO......</t>
  </si>
  <si>
    <t xml:space="preserve">JUNIO </t>
  </si>
  <si>
    <t>OPERACIONAL</t>
  </si>
  <si>
    <t>95.98%</t>
  </si>
  <si>
    <t>Fecha de reporte: 12/01/2016</t>
  </si>
  <si>
    <t>Dependencia: DIRECCION REGIONAL NORTE DE SANTANDER</t>
  </si>
  <si>
    <t>SEGUIMIENTO A 31 DE DICIEMBRE DE 2015</t>
  </si>
  <si>
    <t>89,999,810.00</t>
  </si>
  <si>
    <t>Liquidado</t>
  </si>
  <si>
    <t>124,993,207.00</t>
  </si>
  <si>
    <t>124,999,611.00</t>
  </si>
  <si>
    <t>95,995,794.00</t>
  </si>
  <si>
    <t>CONTRATAR LAS OBRAS DE MANTENIMIENTO CERRAMIENTO PERIMETRAL EN EL AEROPUERTO CRAVONORTE</t>
  </si>
  <si>
    <t>124,999,594.00</t>
  </si>
  <si>
    <t>124,999,303.00</t>
  </si>
  <si>
    <t>44,741,211.00</t>
  </si>
  <si>
    <t>14,986,632.00</t>
  </si>
  <si>
    <t>CONTRATAR OBRAS DE MANTENIMIENTO SEÑALIZACION PISTA EN EL AEROPUERTO DE CRAVONORTE</t>
  </si>
  <si>
    <t>MANTENIMIENTO PLATAFORMAS</t>
  </si>
  <si>
    <t>CONTRATAR LAS OBRAS DE MANTENIMIENTO PLATAFORMA COMERCIAL AEROPUERTO LOS COLONIZADORES DE SARAVENA</t>
  </si>
  <si>
    <t>34,833,442.00</t>
  </si>
  <si>
    <t>124,999,907.00</t>
  </si>
  <si>
    <t>124,998,533.00</t>
  </si>
  <si>
    <t>99,992,465.00</t>
  </si>
  <si>
    <t>124,693,456.00</t>
  </si>
  <si>
    <t>99,995,445.00</t>
  </si>
  <si>
    <t>99,590,153.00</t>
  </si>
  <si>
    <t>63,861,387.00</t>
  </si>
  <si>
    <t>49,731,885.00</t>
  </si>
  <si>
    <t>63,503,000.00</t>
  </si>
  <si>
    <t>119,999,986.00</t>
  </si>
  <si>
    <t>79,955,350.00</t>
  </si>
  <si>
    <t>121,958,507.00</t>
  </si>
  <si>
    <t>63,918,058.00</t>
  </si>
  <si>
    <t>CONTRATAR LAS OBRAS DE MANTENIMIENTO VIA DE ACCESO PERIMETRAL EN EL AEROPUERTO VARGAS SANTOS DE TAME</t>
  </si>
  <si>
    <t>59,991,887.00</t>
  </si>
  <si>
    <t>CONTRATAR OBRAS DE MANTENIMIENTO AREA DE PARQUEADERO DEL AEROPUERTO CRAVONORTE</t>
  </si>
  <si>
    <t>118,964,063.00</t>
  </si>
  <si>
    <t>CONTRATAR LAS OBRAS DE MANTENIMIENTO AREA PARQUEADERO AEROPUERTO AGUAS CLARAS DE OCAÑA</t>
  </si>
  <si>
    <t>CONTRATAR LAS OBRAS DE MANTENIMIENTO AREA PARQUEADERO AEROPUERTO VARGAS SANTOS DE TAME</t>
  </si>
  <si>
    <t>CONTRATAR LAS OBRAS DE MANTENIMIENTO VIA DE SERVICIO SALIDA VEHICULOS PLATAFORMA COMERCIAL AEROPUERTO SANTIAGO PEREZ QUIROZ DE ARAUCA</t>
  </si>
  <si>
    <t>119,958,697.00</t>
  </si>
  <si>
    <t>59,584,568.00</t>
  </si>
  <si>
    <t>79,999,921.00</t>
  </si>
  <si>
    <t>24,941,528.00</t>
  </si>
  <si>
    <t>46,948,001.00</t>
  </si>
  <si>
    <t>59,976,017.00</t>
  </si>
  <si>
    <t>29,774,650.00</t>
  </si>
  <si>
    <t>29,984,733.00</t>
  </si>
  <si>
    <t>124,999,998.00</t>
  </si>
  <si>
    <t>CONTRATAR LA REFORESTACION
EN AREAS INTERNAS AEROPUERTO AGUAS CLARAS DE OCAÑA</t>
  </si>
  <si>
    <t>49,698,000.00</t>
  </si>
  <si>
    <t>54,746,237.00</t>
  </si>
  <si>
    <t>41,960,929.00</t>
  </si>
  <si>
    <t>51,935,187.00</t>
  </si>
  <si>
    <t>37,977,006.00</t>
  </si>
  <si>
    <t>34,961,838.00</t>
  </si>
  <si>
    <t>49,870,990.00</t>
  </si>
  <si>
    <t>49,914,328.00</t>
  </si>
  <si>
    <t>49,988,404.00</t>
  </si>
  <si>
    <t>124,999,888.00</t>
  </si>
  <si>
    <t>124,992,178.00</t>
  </si>
  <si>
    <t>CONTRATAR LAS OBRAS DE MANTENIMIENTO VIA DE ACCESO ESTACION CERRO ANGOSTURAS UBICADA EN EL MUNICIPIO DE TAME - ARAUCA</t>
  </si>
  <si>
    <t>CONTRATAR LAS OBRAS DE MANTENIMIENTO VIA DE ACCESO ESTACION CERRO MEJUE UBICADA EN EL MUNICIPIO DE CHINACOTA - NORTE DE SANTANDER</t>
  </si>
  <si>
    <t>49,985,019.00</t>
  </si>
  <si>
    <t>124,995,282.00</t>
  </si>
  <si>
    <t>Los trabajos implicaron desafectación de área concesionada, lo cual se prolongó en el tiempo afectando cronograma de obras. Se registró como reserva presupuestal</t>
  </si>
  <si>
    <t>CONTRATAR LAS OBRAS DE MANTENIMIENTO AREAS DE APOYO EN EL AEROPUERTO CAMILO DAZA DE CUCUTA</t>
  </si>
  <si>
    <t>CONTRATAR LA ADQUISICION E INSTALACION DEL SISTEMA DE CLIMATIZACION EN LA SALA DE SECCIONADORES Y TRANFORMADORES SISTEMAS AEROPORTUARIOS DE AERONAUTICA CIVIL EN EL AEROPUERTO CAMILO DAZA</t>
  </si>
  <si>
    <t>CONTRATAR EL MANTENIMIENTO  CORRECTIVO DE LOS EQUIPOS DEL SISTEMA DE ILUMINACION AEROPUERTO AGUAS CLARAS DE OCAÑA</t>
  </si>
  <si>
    <t>2,457,529.00</t>
  </si>
  <si>
    <t>ADQUISICION DE MATERIALES
PARA EL AEROPUERTO CAMILO
DAZA DE CUCUTA.</t>
  </si>
  <si>
    <t>1,493,450.00</t>
  </si>
  <si>
    <t>ADQUISICION DE MATERIALES
PARA EL AEROPUERTO AGUAS
CLARAS DE OCAÑA.</t>
  </si>
  <si>
    <t>3,160,602.00</t>
  </si>
  <si>
    <t>ADQUISICION DE MATERIALES
PARA EL AEROPUERTO
SANTIAGO PEREZ QUIROZ DE
ARAUCA Y EL AEROPUERTO LOS
COLONIZADORES DE SARAVENA.</t>
  </si>
  <si>
    <t>PICACHO</t>
  </si>
  <si>
    <t>CONTRATAR EL MANTENIMIENTO CORRECTIVO DE UNAS FUENTES DE ALIMENTACION DEL RADAR PRIMARIO LMOC DEL CERRO EL PICACHO</t>
  </si>
  <si>
    <t>CONTRATAR EL REFORZAMIENTO ESTRUCTURAL DE LA TORRE AUTOSOPORTADA DE COMUNICACIONES DEL AEROPUERTO DE SARAVENA</t>
  </si>
  <si>
    <t>CONTRATAR EL MANTENIMIENTO GENERAL A LA TORRE AUTOSOPORTADA DE COMUNICACIONES DEL AEROPUERTO DE CUCUTA</t>
  </si>
  <si>
    <t>CONTRATAR LA ACTUALIZACION DE LA INFORMACION DE INTERFERENCIA DE RF EN LAS BANDAS DE 6, 7 Y 8 GHZ EN EL CERRO JURISDICCIONES Y CERRO EL CABRITO</t>
  </si>
  <si>
    <t>CONTRATAR EL MANTENIMIENTO ESTRUCTURAL DE LA TORRE AUTOSOPORTADA DE COMUNICACIONES DEL AEROPUERTO DE ARAUCA</t>
  </si>
  <si>
    <t>CONTRATAR EL MANTENIMIENTO Y ACTUALIZACION DEL SISTEMA TRUNKING DE LAS COMUNICACIONES INTERDEPENDENCIAS DE LA REGIONAL NORTE DE SANTANDER.</t>
  </si>
  <si>
    <t>CONTRATAR EL MANTENIMIENTO CORRECTIVO A TARJETERIA DE MULTIPLEXORES PROMINA NET DE LA REGIONAL NORTE DE SANTANDER.</t>
  </si>
  <si>
    <t xml:space="preserve">CONTRATAR EL DESMONTE DE
EQUIPOS Y ANTENAS DEL
CERRO GAVILANES Y TRANSPORTE AL AEROPUERTO DE BUCARAMANGA </t>
  </si>
  <si>
    <t xml:space="preserve">CONTRATAR LA EVALUACION DE INTERFERENCIAS ELECTROMAGNETICAS Y DISPONIBILIDAD EN EL ESPECTRO PARA GESTION AUTORIZACION DE FRECUENCIA ANTE EL MINTIC EN LAS DISTINTAS ESTACIONES EN LA ACTUALIZACION DEL SISTEMA TRUNKING A NIVEL REGIONAL NORTE DE SANTANDER </t>
  </si>
  <si>
    <t>CONTRATAR LA CONSERVACION DE LOS SISTEMAS DE COMUNICACIONES EN CONSOLAS DE TORRES DE CONTROL, MEDIANTE SUMINISTRO DE DIADEMAS Y MICROFONOS SEGUN CONSOLA DE COMUNICACIONES</t>
  </si>
  <si>
    <t xml:space="preserve">CONTRATAR LA CONSERVACION DE MEDIOS DE COMUNICACIONES ENTRE MULTIPLEXORES DE LA REGIONAL MEDIANTE SUMINISTRO DE EQUIPOS CONVERSORES DE MEDIO </t>
  </si>
  <si>
    <t>CONTRATAR EL MANTENIMIENTO Y CONSERVACION DE LAS RADIOAYUDAS FERNAU - NORMAC DE LA REGIONAL NORTE DE SANTANDER</t>
  </si>
  <si>
    <t xml:space="preserve">CONTRATAR LA
ACTUALIZACION DEL SISTEMA
DE MONITOREO REMOTO DEL
SISTEMA DE RADIOAYUDAS PARA DVOR/DME SELEX DEL AEROPUERTO DE TAME </t>
  </si>
  <si>
    <t>TAME-SARAVENA-CUCUTA</t>
  </si>
  <si>
    <t>ARAUCA-TAME-SARAVENA</t>
  </si>
  <si>
    <t>TASAJERO</t>
  </si>
  <si>
    <t>CONTRATAR LA ACTUALIZACION DE LAS LUCES DE UMBRAL DE LAS CABECERAS DE PISTA DEL AEROPUERTO YARIGUIES DE BARRANCABERMEJA.</t>
  </si>
  <si>
    <t>CONTRATAR EL MANTENIMIENTO Y ACTUALIZACION DE LA SUBESTACION DE ENERGIA EN LA CABECERA 16 DEL AEROPUERTO CAMILO DAZA</t>
  </si>
  <si>
    <t>CONTRATAR LA ACTUALIZACION DEL SISTEMA DE ILUMINACION INTERIOR DEL TERMINAL AEREO, ZONAS EXTERIOR DE COUNTERS Y SALIDA DE PASAJEROS DEL AEROPUERTO DE ARAUCA</t>
  </si>
  <si>
    <t>CONTRATAR EL MANTENIMIENTO
A TRANSFORMADORES DE LA
REGIONAL, ESTACIONES CERRO
ORIENTE Y CERRO LA VIRGEN
DE LA REGIONAL NORTE DE
SANTANDER</t>
  </si>
  <si>
    <t>CONTRATAR EL REORDENAMIENTO A REDES ELECTRICAS Y DE DATOS MEDIANTE SUMINISTRO DE ESCALERILLAS PORTACABLES Y DESMONTE DE CABLES EN TORRE DE CONTROL CUCUTA</t>
  </si>
  <si>
    <t>CONTRATAR EL MANTENIMIENTO DEL SISTEMA DE ILUMINACION DE PLATAFORMA Y PARQUEADERO DEL AEROPUERTO SANTIAGO PEREZ QUIROZ DE ARAUCA</t>
  </si>
  <si>
    <t>CONTRATAR EL MANTENIMIENTO CORRECTIVO AL VEHICULO SOPORTE TECNICO AEROPUERTO DE TAME</t>
  </si>
  <si>
    <t>Contratar la adquisición de Gasolina y ACPM para vehiculos del aeropuerto Internacional  Palonegro de Bucaramanga</t>
  </si>
  <si>
    <t>ADQUISICION DE PEAJES PARA VEHICULOS AEROPUERTO PALONEGRO DE BUCARAMANGA.</t>
  </si>
  <si>
    <t>Quedó como reserva presupuestal, habida cuenta que su ejecución se prolongó hasta 16/01/2016</t>
  </si>
  <si>
    <t>CONTRATAR LA ADQUISICION DE ELEMENTOS PARA SISTEMA DE DISTRIBUICION ELECTRICA EN LOS AEROPUERTOS DE ARAUCA Y SARAVENA.</t>
  </si>
  <si>
    <t>MANTENIMIENTO Y
CONSERVACION DE LAS MANGAVELETAS DE LOS AEROPUERTOS DE LA REGIONAL NORTE DE SANTANDER</t>
  </si>
  <si>
    <t xml:space="preserve">ADQUISICION DE SERVICIOS DE SEGURIDAD PARA EL CONTROL Y OPERACION DE LOS SISTEMAS DE SEGURIDAD AEROPORTUARIA Y AYUDAS A LA NAVEGACION AEREA </t>
  </si>
  <si>
    <t>CONTRATAR EL SERVICIO DE VIGILANCIA TECNICA PARA LAS ESTACIONES AERONAUTICAS MARCADOR INTERMEDIO EN EL MUNICIPIO DE CUCUTA Y MARCADOR EXTERIOR EN EL MUNICIPIO DEL ZULIA</t>
  </si>
  <si>
    <t>CONTRATAR EL SERVICIO DE VIGILANCIA TECNICA PARA LA ESTACION AERONAUTICA CERRO TASAJERO EN EL MUNICIPIO DE CUCUTA</t>
  </si>
  <si>
    <t>CONTRATAR EL SERVICIO DE VIGILANCIA TECNICA PARA LA ESTACION AERONAUTICA CERRO MEJUE EN EL MUNICIPIO DE CHINACOTA (N. DE S.)</t>
  </si>
  <si>
    <t>CONTRATAR EL SERVICIO DE VIGILANCIA TECNICA PARA LA ESTACION AERONAUTICA CERRO LA VIRGEN EN EL MUNICIPIO DE TOLEDO</t>
  </si>
  <si>
    <t>CONTRATAR LOS SERVICIOS GENERALES PARA EL FUNCIONAMIENTO DEL CONSULTORIO DE SANIDAD AEROPORTUARIA DEL AEROPUERTO DE ARAUCA</t>
  </si>
  <si>
    <t>CONTRATAR EL MANTENIMIENTO DE EQUIPOS MEDICOS DEL CONSULTORIO DE SANIDAD AEROPORTUARIA DEL AERPUERTO SANTIAGO PEREZ QUIROZ DE ARAUCA</t>
  </si>
  <si>
    <t>CONTRATAR EL MANTENIMIENTO DE LA AMBULANCIA DEL AEROPUERTO DE ARAUCA</t>
  </si>
  <si>
    <t>CONTRATAR LA ADQUISICION DE EXTINTORES PARA LOS AEROPUERTOS ADSCRITOS A LA REGIONAL AERONAUTICA NORTE DE SANTANDER</t>
  </si>
  <si>
    <t>CONTRATAR LA ADQUISICIÓN DE ELEMENTOS PARA LA REALIZACIÓN DE SIMULACROS SEI EN LOS AEROPUERTOS DE LA REGIONAL NORTE DE SANTANDER QUE CUENTAN CON EL SERVICIO DE EXTINCIÓN DE INCENDIOS.</t>
  </si>
  <si>
    <t>CONTRATAR LA RECARGA DE EXTINTORES Y BALAS DE NITROGENO DE LOS AEROPUERTOS ADSCRITOS A LA REGIONAL NORTE DE SANTANDER.</t>
  </si>
  <si>
    <t>CONTRATAR EL MANTENIMIENTO GENERAL DEL VEHICULO SAR OJG-526 DEL AEROPUERTO INTERNACIONAL CAMILO DAZA DE LA CIUDAD DE CUCUTA</t>
  </si>
  <si>
    <t>CONTRATAR EL MANTENIMIENTO PREVENTIVO Y CORRECTIVO VEHICULO SAR DEL AEROPUERTO PALONEGRO DE BUCARAMANGA.</t>
  </si>
  <si>
    <t>ONTRATAR LA ADQUISICIÓN DE ACPM PARA LAS MAQUINAS DE BOMBEROS Y GASOLINA PARA VEHICULO SAR DEL AEROPUERTO CAMILO DAZA DE CÚCUTA.</t>
  </si>
  <si>
    <t>CONTRATAR LA ADQUISICIÓN DE ELEMENTOS DE PROTECCIÓN PERSONAL PARA LOS FUNCIONARIOS DE LA REGIONAL NORTE DE SANTANDER.</t>
  </si>
  <si>
    <t>CONTRATAR LA ADQUISICIÓN DE EQUIPOS PARA EL DESARROLLO DE PROGRAMAS DE SALUD OCUPACIONAL EN LA REGIONAL NORTE DE SANTANDER.</t>
  </si>
  <si>
    <t>CONTRATAR EL MANTENIMIENTO DE EQUIPOS DE SALUD OCUPACIONAL UBICADOS EN LOS AEROPUERTOS A CARGO DE LA REGIONAL NORTE DE SANTANDER</t>
  </si>
  <si>
    <t>CONTRATAR LA ADQUISICIÓN DE ELEMENTOS ERGONOMICOS PARA LA REGIONAL NORTE DE SANTANDER.</t>
  </si>
  <si>
    <t>CONTRATAR LA ADQUISICIÓN DE BOTIQUINES E INSUMOS PARA LOS BOTIQUINES UBICADOS EN LOS AEROPUERTOS A CARGO DE REGIONAL NORTE DE SANTANDER</t>
  </si>
  <si>
    <t>CONTRATAR EL SIUMINISTRO DE EQUIPOS Y ELEMENTOS PARA LAS BRIGADAS DE EMERGENCIA DE LA REGIONAL NORTE DE SANTANDER</t>
  </si>
  <si>
    <t>CONTRATAR EL SUMINISTRO DE ELEMENTOS PARA LA SEÑALIZACIÓN Y DEMARCACIÓN DE LAS AREAS INTERNAS DE DESPLAZAMIENTO EN LOS AEROPUERTOS A CARGO REGIONAL NORTE DE SANTANDER</t>
  </si>
  <si>
    <t>CONTRATAR EL SUMINISTRO DE ELEMENTOS, DE EQUIPOS Y LOGISTICA PARA EL DESARROLLO DE ACTIVIDADES DEPORTIVAS DIRIGIDAS A LOS FUNCIONARIOS DE LA REGIONAL NORTE DE SANTANDER</t>
  </si>
  <si>
    <t>CONTRATAR EL DESARROLLO DE LAS VACACIONES RECREATIVAS PARA LOS HIJOS DE LOS FUNCIONARIOS DE LA AERONAUTICA CIVIL QUE LABORAN EN LA REGIONAL NORTE DE SANTANDER</t>
  </si>
  <si>
    <t>CONTRATAR LOS TALLERES PARA LA PREPARACION DEL PERSONAL PREPENSIONADO UBICADO EN LOS AEROPUERTOS DE LA REGIONAL AERONAUTICA NORTE DE SANTANDER</t>
  </si>
  <si>
    <t>10,843,200.00</t>
  </si>
  <si>
    <t>ADQUISICIÓN DE SERVICIOS MEDICOS PARA PROGRAMA DE SALUD OCUPACIONAL DE LA REGIONAL NORTE DE SANTANDER</t>
  </si>
  <si>
    <t>63,001,000.00</t>
  </si>
  <si>
    <t>CONTRATAR EL SERVICIO DE ACTUALIZACIÓN DE HISTORIAS CLINICAS OCUPACIONALES EN LA REGIONAL NORTE DE SANTANDER.</t>
  </si>
  <si>
    <t>11,997,800.00</t>
  </si>
  <si>
    <t>CONTRATAR EL ACOMPAÑAMIENTO A LA IMPLEMENTACIÓN DEL PROGRAMA DE INTERVENCION EN VIGILANCIA EPIDEMIOLOGICA DE LA REGIONAL NORTE DE SANTANDER</t>
  </si>
  <si>
    <t>34,999,440.00</t>
  </si>
  <si>
    <t>CONTRATAR EL SERVICIO DE ACONDICIONAMIENTO FÍSICO EN LAS INSTALACIONES DE LA ENTIDAD A CARGO DE LA REGIONAL NORTE DE SANTANDER.</t>
  </si>
  <si>
    <t>29,919,200.00</t>
  </si>
  <si>
    <t>CONTRATAR EL PROGRAMA DE FORMACIÓN EN EL AREA DE INGLES PARA FUNCIONARIOS DE CONTROL DE TRANSITO AEREO Y AIS/COM/MET DEL AEROPUERTO CAMILO DAZA DE CÚCUTA.</t>
  </si>
  <si>
    <t>12,499,599.00</t>
  </si>
  <si>
    <t>CONTRATAR EL PROGRAMA DE FORMACIÓN EN EL AREA DE INGLES PARA FUNCIONARIOS DE CONTROL DE TRANSITO AEREO Y AIS/COM/MET DEL AEROPUERTO PALONEGRO DE BUCARAMANGA.</t>
  </si>
  <si>
    <t>12,499,900.00</t>
  </si>
  <si>
    <t>En trámite de cuenta</t>
  </si>
  <si>
    <t>CONTRATAR LA REALIZACIÓN DE LOS EXÁMENES MÉDICOS PARA LA CERTIFICACIÓN AEROMÉDICA DEL PERSONAL DE CONTROLADORES DE TRÁNSITO AÉREO, BOMBEROS AERONAUTICOS Y AIS/COM/MET DE LOS AEROPUERTOS DE LA REGIONAL NORTE DE SANTANDER 2015</t>
  </si>
  <si>
    <t>54,999,923.00</t>
  </si>
  <si>
    <t xml:space="preserve">CONTRATAR EL SUMINISTRO DE GASOLINA PARA EL VEHICULO DE INSPECCION DE SEGURIDAD AEREA EN EL AEROPUERTO CAMILO DAZA DE CUCUTA </t>
  </si>
  <si>
    <t>CONTRATAR LA ADQUISICION DE COMBUSTIBLE PARA EL VEHICULO DE SEGURIDAD AEREA DEL AEROPUERTO PALONEGRO DE BUCARAMANGA.</t>
  </si>
  <si>
    <t>1,197,571.00</t>
  </si>
  <si>
    <t>CONTRATAR EL MANTENIMIENTO DE VEHICULO DE CONTROL Y SEGURIDAD AEREA DEL AEROPUERTO CAMILO DAZA DE CUCUTA</t>
  </si>
  <si>
    <t>CONTRATAR EL MANTENIMIENTO
DE VEHICULO DE CONTROL Y
SEGURIDAD AEREA DEL AEROPUERTO PALONEGRO DE BUCARAMANGA.</t>
  </si>
  <si>
    <t xml:space="preserve">En reserva $131.966.086; por prorroga al contrato </t>
  </si>
  <si>
    <t>Ejecutado el 100%</t>
  </si>
  <si>
    <t>Pliegos publicados y en proceso precontractual.</t>
  </si>
  <si>
    <t>Obligado el 50%</t>
  </si>
  <si>
    <t>La fábrica NORMARC, solicito prórroga de 60 días y se autorizó debido a un caso de fuerza mayor.</t>
  </si>
  <si>
    <t>Se realizó traslado por $3.800.000.000, a DITEL.</t>
  </si>
  <si>
    <t>Presupuesto para ejecutar en 2015, después de traslado. $3.200.000.000.</t>
  </si>
  <si>
    <t>SE REINICIO PROCESO DE ADICION POR QUE FALTABA CLARIDAD EN EL VALOR GIRADO INICALMENTE Y DEL SALDO POR FALTA DE LOS SOPORTES DE GIRO.</t>
  </si>
  <si>
    <t>SE SOLICITO DECREMENTO  SALDOS POR DIFERENCIA DE DÓLAR Y NO FUE NECESARIO ADICIONAR PAGO.</t>
  </si>
  <si>
    <t>PROCESO ADJUDICADO Y EN EJECUCION</t>
  </si>
  <si>
    <t>Se radico en Administrativa y fue devuelto por cambio de modalidad en contratación</t>
  </si>
  <si>
    <t>EL CONTRATO DE 100 MILLONES DE PESOS,  NO SE HA PAGADO PORQUE EN LA ELABORACIÓN DEL MISMO QUEDO INCLUIDO EL IVA DENTRO DEL VALOR Y LOS SERVICIOS MEDICOS NO TIENEN IVA. CUENTA DE COBRO PARA PAGAR EL PROXIMO AÑO, CUANDO DESDE LA DIRECCIÓN ADMINISTRATIVA MODIFIQUEN EL CONTRATO.
SE SOLICITO DECREMENTO ANTE EL GRUPO DE PRESUPUESTO POR UN VALOR DE 34 MILLONES DE PESOS, PUESTO QUE AL 31 DE DICIEMBRE , PLAZO DE EJECUCIÓN DEL CNTRATO SOLO SE ATENDIO PERSONAL POR UN VALOR DE 65 MILLONES DE PESOS</t>
  </si>
  <si>
    <t>$562.127  saldo sin ejecutar contrato de Certificación Aeromedica de personal Regional Antioquia. Procederan a decrementar</t>
  </si>
  <si>
    <t>EJECUTADO EN SU TOTALIDAD</t>
  </si>
  <si>
    <t>$724.800  saldo sin ejecutar contrato de Certificación Aeromedica de personal Regional N. de Santander. Procederan a decrementar</t>
  </si>
  <si>
    <t>EL AREA RESPONSABLE SE ENCUENTRA PRERPARANDO EL PROYECTO Y LOS ESTUDIOS RESPECTIVOS</t>
  </si>
  <si>
    <t>EL AREA RESPONSABLE SE ENCUENTRA PREPARANDO EL PROYECTO Y LOS ESTUDIOS RESPECTIVOS</t>
  </si>
  <si>
    <t>Contrato adjudicado y ejecutado</t>
  </si>
  <si>
    <t>NO SE LLEVARA A CABO, SE ESTA SOLICITANDO TRASLADO DE RECURSOS PARA PLANES MAESTROS</t>
  </si>
  <si>
    <t>SE ADICIONARON RECURSOS POR 14500, SE INICIARA PROCESO EN EL MES DE AGOSTO</t>
  </si>
  <si>
    <t>ESTUDIOS PREVIOS</t>
  </si>
  <si>
    <t>Contrato adjudicado y en ejecución</t>
  </si>
  <si>
    <t>ADJUDICADO - EN EJECUCION</t>
  </si>
  <si>
    <t>RADICADO - ETAPA PRECONTRACTUAL</t>
  </si>
  <si>
    <t>EVALUACION DE OFERTAS</t>
  </si>
  <si>
    <t>No se presentaron oferentes</t>
  </si>
  <si>
    <t>ESTUDIOS PREVIOS - CONSOLIDANDO PROYECTO</t>
  </si>
  <si>
    <t>DECLARADO DESIERTO - PENDIENTE VOLVER A ABRIR</t>
  </si>
  <si>
    <t>No se presentaron ofertas.</t>
  </si>
  <si>
    <t>Dependencia: Grupo de Administración de Inmuebles</t>
  </si>
  <si>
    <t>Solicitud CDP compra inmueble</t>
  </si>
  <si>
    <t>SEGUIMIENTO A 31 DE DICIEMBRE  DE 2015</t>
  </si>
  <si>
    <t>SE PRESENTÓ OFERTA FORMAL DE COMPRA A TRES PREDIOS AVALUADOS POR EL IGAC, DE LOS CUALES DOS FUERON ACEPTADAS Y FORMALIZADAS CON ESCRITURA PÚBLICA Y UNA ENVIADA A LA OFICINA ASESORA JURIDICA CON EL PROYECTO DE RESOLUCIÓN Y EXPEDIENTE COMPLETO PARA DAR INICIO AL PROCESO DE EXPROPIACIÓN. 
SE GENERARON RP POR VALOR DE $1.077.513.247</t>
  </si>
  <si>
    <t>SE TRASLADARON LOS RECURSOS A LA UNIDAD DE PROVIDENCIA  PARA QUE SE APROPIARAN EN LOS CDPS DE LOS PREDIOS OBJETO DE COMPRA PARA LA EXPANSIÓN DE ESTE AEROPUERTO.</t>
  </si>
  <si>
    <t>AEROPUERTO TAME</t>
  </si>
  <si>
    <t>LA OFICINA DE REGISTRO SUBSANO LA INCONSISTENCIA EXISTENTE POR TANTO SE ADELANTA LA ELABORACIÓN DE LA RESOLUCIÓN DE EXPROPIACIÓN JUDICIAL.</t>
  </si>
  <si>
    <t>AEROPUERTO DE PROVIDENCIA</t>
  </si>
  <si>
    <t>SE GENERARON CDP SOBRE DIEZ Y SEIS (16) LOTES OBJETO DE COMPRA EN EL ÁREA DE EXPANSION DEL AEROPUERTO EL EMBRUJO, LOGRANDO  FORMALIZAR LA COMPRA EN OCHO DE ESTOS. 
SE GENERARON RP POR VALOR DE $4.969.953.707</t>
  </si>
  <si>
    <t>AVALUOS DE PREDIOS OBJETO DE COMPRA</t>
  </si>
  <si>
    <t>SE CANCELARON FACTURAS POR VALOR $51.277.045, CORRESPONDIENTE AL 93.23% DE LA TOTALIDAD DEL CONTRATO</t>
  </si>
  <si>
    <t>AVALUOS PREDIOS PROVIDENCIA</t>
  </si>
  <si>
    <t>LA FIRMA JORGE ELIECER GAITAN REALIZÓ EL AVALÚO DE LOS 39 PREDIOS QUE CONFORMAN EL PROYECTO DE EXPANSIÓN DEL AEROPUERTO EL EMBRUJO CANCELANDO DE ESTA MANERA EL VALOR TOTAL DEL CONTRATO POR $45.786.000</t>
  </si>
  <si>
    <t>Dependencia: Dirección de Seguridad y Supervision Aeroportuaria</t>
  </si>
  <si>
    <t>SEGUIMIENTO AJUNIO 30 DE 2015</t>
  </si>
  <si>
    <t>SEGUIMIENTO A SEPT 30 DE 2015</t>
  </si>
  <si>
    <t>SEGUIMIENTO A DIC 31 DE 2015</t>
  </si>
  <si>
    <t>ADQUISICIÓN Y MANTENIMIENTO DE EQUIPOS Y SERVICIOS PARA EL MEJORAMIENTO DE LA SEGURIDAD AEROPORTUARIA</t>
  </si>
  <si>
    <t>ADQUISICIÓN SERVICIOS DE SEGURIDAD PARA EL CONTROL Y OPERACIÓN DE LOS SISTEMAS DE SEGURIDAD AEROPORTUARIA Y AYUDAS A LA NAVEGACIÓN AÉREA</t>
  </si>
  <si>
    <t>contratación de servicios de seguridad destinados a la operación de seguridad aeroportuaria y protección de perimetros en aeropuertos y estaciones aeronáuticas</t>
  </si>
  <si>
    <t>CONTRATO CON VIGENCIAS FUTURAS DE 20-12-2014 A 20-12-2016</t>
  </si>
  <si>
    <t>Contrato en Ejecucion,  requiere adicion  valor  reajuste salario minimo</t>
  </si>
  <si>
    <t>Contrato en Ejecucion,  Porcentaje ejecutado Vigencia 2015 99,02%</t>
  </si>
  <si>
    <t>AEROPUERTO EL DORADO</t>
  </si>
  <si>
    <t>APTO FLORENCIA</t>
  </si>
  <si>
    <t>APTO PUERTO ASIS</t>
  </si>
  <si>
    <t>VOR PUERTO ASIS</t>
  </si>
  <si>
    <t>ESTACION NORMANDIA NDBMARCADOR DE SALIDA</t>
  </si>
  <si>
    <t>APTO SAN VICENTE DEL CAGUAN</t>
  </si>
  <si>
    <t>APTO LETICIA</t>
  </si>
  <si>
    <t>APTO NEIVA</t>
  </si>
  <si>
    <t>APTO PITALITO</t>
  </si>
  <si>
    <t>APTO IBAGUE</t>
  </si>
  <si>
    <t>APTO VILLAGARZON</t>
  </si>
  <si>
    <t>APTO MARIQUITA</t>
  </si>
  <si>
    <t>APTO CUCUTA</t>
  </si>
  <si>
    <t>APTO OCAÑA</t>
  </si>
  <si>
    <t>APTO SARAVENA</t>
  </si>
  <si>
    <t>APTO ARAUCA</t>
  </si>
  <si>
    <t>APTO TAME</t>
  </si>
  <si>
    <t>ESTACION LA CHIVERA MARCADOR INTERNMEDIO</t>
  </si>
  <si>
    <t>ESTACION CERRO ORIENTE PAMPLONA</t>
  </si>
  <si>
    <t>ESTACION VOR/GS/LOC CUCUTA</t>
  </si>
  <si>
    <t>APTO VALLEDUPAR</t>
  </si>
  <si>
    <t>VOR LA PAZ  - VALLEDUPAR</t>
  </si>
  <si>
    <t>RADIOFARO CIENAGA</t>
  </si>
  <si>
    <t>ESTACION CASA EMISORA - BARRRANQUILLA</t>
  </si>
  <si>
    <t>ESTACION POLO NUEVO  - BARRANQUILLA</t>
  </si>
  <si>
    <t>ESTACION VOR PARICUICA - CARTAGENA</t>
  </si>
  <si>
    <t>VOR EL CLIFF - SAN ANDRES</t>
  </si>
  <si>
    <t>VOR SEVILLANO- SANTA MARTA</t>
  </si>
  <si>
    <t>ESTACION CASONA</t>
  </si>
  <si>
    <t>ESTACION MALAMBO</t>
  </si>
  <si>
    <t>ESACION EL CABRITO</t>
  </si>
  <si>
    <t>ESTACION ALGUACIL</t>
  </si>
  <si>
    <t>APTO TOLU</t>
  </si>
  <si>
    <t>APTO MAGANGUE</t>
  </si>
  <si>
    <t>APTO MOMPOS</t>
  </si>
  <si>
    <t>SOLEDAD ADTIVO - APTO B/QUILLA</t>
  </si>
  <si>
    <t>APTO RIOHACHA</t>
  </si>
  <si>
    <t>ESTACION MARCADOR MEDIO RIONEGRO</t>
  </si>
  <si>
    <t>ESTACION CERRO GORDO VOR RIONEGRO</t>
  </si>
  <si>
    <t>ESTACION POPALITO - BARBOSA</t>
  </si>
  <si>
    <t>ESTACION RADAR CAREPA</t>
  </si>
  <si>
    <t>BAHIA SOLANO</t>
  </si>
  <si>
    <t>AEROPUERTO NUQUI</t>
  </si>
  <si>
    <t>ESTACION NUQUI</t>
  </si>
  <si>
    <t>ESTACION EL JARDIN</t>
  </si>
  <si>
    <t>APTO PUERTO BERRIO</t>
  </si>
  <si>
    <t>APTO REMEDIOS - OTU</t>
  </si>
  <si>
    <t>APTO CIMITARRA</t>
  </si>
  <si>
    <t>APTO CONDOTO</t>
  </si>
  <si>
    <t>APTO BERASTEGUI (CIENAGA DE ORO)</t>
  </si>
  <si>
    <t>APTO MONTELIBANO</t>
  </si>
  <si>
    <t>APTO POPAYAN</t>
  </si>
  <si>
    <t>APTO ARMENIA</t>
  </si>
  <si>
    <t>APTO IPIALES</t>
  </si>
  <si>
    <t>APTO BUENAVENTURA</t>
  </si>
  <si>
    <t>VOR BUENAVENTURA</t>
  </si>
  <si>
    <t>ESTACION VOR TULUA</t>
  </si>
  <si>
    <t>ESTACION VOR MERCADERES</t>
  </si>
  <si>
    <t>ESTACION VOR/DME PASTO</t>
  </si>
  <si>
    <t>ESTACION EL PASO NDB - CALARCA</t>
  </si>
  <si>
    <t>ESTACION ROZO</t>
  </si>
  <si>
    <t>ESTACION MADROÑO</t>
  </si>
  <si>
    <t>APTO GUAPI</t>
  </si>
  <si>
    <t>APTO TUMACO</t>
  </si>
  <si>
    <t>APTO CALI ADTIVO</t>
  </si>
  <si>
    <t>APTO PASTO</t>
  </si>
  <si>
    <t>ESTACION VOR POMPEYA</t>
  </si>
  <si>
    <t>ESTACION VOR MITU - VAUPES</t>
  </si>
  <si>
    <t>ESTACION VOR/DME YOPAL</t>
  </si>
  <si>
    <t>ESTACION VOR/DME PUERTO INIRIDA</t>
  </si>
  <si>
    <t>ESTACION VOR/DME PUERTO CARREÑO</t>
  </si>
  <si>
    <t>APTO VILLAVICENCIO</t>
  </si>
  <si>
    <t>APTO PUERTO CARREÑO</t>
  </si>
  <si>
    <t>APTO MITU</t>
  </si>
  <si>
    <t>APTO YOPAL</t>
  </si>
  <si>
    <t>contratación de servicios de seguridad destinados a la protección de las instalaciones administrativas de la Aerocivil</t>
  </si>
  <si>
    <t>APTO GUAYMARAL</t>
  </si>
  <si>
    <t>APTO FLANDES</t>
  </si>
  <si>
    <t>APTO PAIPA</t>
  </si>
  <si>
    <t>APTO CHAPARRAL</t>
  </si>
  <si>
    <t>APTO BARRANCABERMEJA</t>
  </si>
  <si>
    <t>APTO CRAVO NORTE</t>
  </si>
  <si>
    <t>APTO BUCARAMANGA</t>
  </si>
  <si>
    <t>AEROPUERTO ARAUQUITA</t>
  </si>
  <si>
    <t>AEROPUERTO SAN ANDRES</t>
  </si>
  <si>
    <t>APTO SANTA MARTA</t>
  </si>
  <si>
    <t>CARTAGENA-ADTIVO</t>
  </si>
  <si>
    <t>APTO AGUACHICA</t>
  </si>
  <si>
    <t>APTO EL BANCO</t>
  </si>
  <si>
    <t>APTO PLATO</t>
  </si>
  <si>
    <t>APTO RIONEGRO</t>
  </si>
  <si>
    <t>AEROPUERTO SAN MARCOS</t>
  </si>
  <si>
    <t>APTO AMALFI</t>
  </si>
  <si>
    <t>APTO URRAO</t>
  </si>
  <si>
    <t>CALI OPERATIVO</t>
  </si>
  <si>
    <t>PAZ DE ARIPORO</t>
  </si>
  <si>
    <t>SAN MARTIN</t>
  </si>
  <si>
    <t>HATO COROZAL</t>
  </si>
  <si>
    <t>MANTENIMIENTO Y CONSERVACION DE EQUIPOS DE SEGURIDAD AEROPORTUARIA</t>
  </si>
  <si>
    <t>MANTENIMIENTO MAQUINAS DE RAYOS X &amp; DETECTORES DE METALES</t>
  </si>
  <si>
    <t>BIMESTRAL</t>
  </si>
  <si>
    <t>Proyectos en estructuracion</t>
  </si>
  <si>
    <t>PROYECTOS RADICADOS DIRECCION ADTIVA</t>
  </si>
  <si>
    <t>Contratos en Ejecucion</t>
  </si>
  <si>
    <t>Contratos Ejecutados Se ejecuto el 90,14%</t>
  </si>
  <si>
    <t>PUERTO BERRIO</t>
  </si>
  <si>
    <t>ELYOPAL</t>
  </si>
  <si>
    <t>MANTENIMIENTO CIRCUITOS CERRADOS DE TELEVISION Y SISTEMAS DE COMUNICACIONES</t>
  </si>
  <si>
    <t>Contratos Ejecutados Se ejecuto el 89%</t>
  </si>
  <si>
    <t>CTR. DE CONTROL BARRANQUILLA</t>
  </si>
  <si>
    <t>CTR. DE CONTROL VILLAVICENCIO</t>
  </si>
  <si>
    <t xml:space="preserve">MANTENIMIENTO Y COMPRA DE INSUMOS PARA SISTEMAS DE IDENTIFICACION    </t>
  </si>
  <si>
    <t>Contratos Ejecutados Se jecuto el 70,48%</t>
  </si>
  <si>
    <t>CONTROL DE ACCESOS E INCENDIOS</t>
  </si>
  <si>
    <t>Contratos Ejecutados Se jecuto el 88,96%</t>
  </si>
  <si>
    <t>CTR. DE VILLAVICENCIO</t>
  </si>
  <si>
    <t>ADQUISICION, INSTALACIÓN Y PUESTA EN FUNCIONAMIENTO DE CCTV</t>
  </si>
  <si>
    <t>Se requiere  trasladar los recursos al proyecto de vigilancia ($1,600,000) LOS $200,000,000 RESTANTES SE ADELANTARA EL PROYECTO  DE ADQUISICION MAQUINA DE RAYOS x AEROPUERTO San Andres</t>
  </si>
  <si>
    <t>Se requiere ajustar el cronograma por traslados presupuestales y reduccion de presupuesto</t>
  </si>
  <si>
    <t>Se estructiro proyecto por $189,000,000 Adjudicion 6/11/15 Plazo: 1 mes</t>
  </si>
  <si>
    <t>Contrato Ejecutado Se jecuto el 95% Maquina Rayos X Aeropuerto San Andres</t>
  </si>
  <si>
    <t>ADQUISICION Y RENOVACION DE EQUIPOS Y ELEMENTOS COMPLEMENTARIOS PARA LA SEGURIDAD EN AEROPUERTOS</t>
  </si>
  <si>
    <t xml:space="preserve">ADQUISICION DE EQUIPOS DE PROTECCION DE INCENDIOS BUSQUEDA Y RESCATE </t>
  </si>
  <si>
    <t>ADQUISICION DE  MAQUINAS DE EXTINCION DE INCENDIOS</t>
  </si>
  <si>
    <t>CONTRATO CON VIGENCIAS FUTURAS DE 20-12-2014 A 19-12-2015</t>
  </si>
  <si>
    <t>Solicitud tramite Vigencias Futiras</t>
  </si>
  <si>
    <t>Radicados en Direccion Administrativa</t>
  </si>
  <si>
    <t xml:space="preserve">Contrato Ejecutado Se jecuto el 99,66% </t>
  </si>
  <si>
    <t>ADQUISICION DE EQUIPOS DE RESCATE SEI-SAR (mandibulas de la vida , porto power sinceles neimaticos)</t>
  </si>
  <si>
    <t>Estudios Previos</t>
  </si>
  <si>
    <t>Estructuracion Proyecto y Radicacion Direccion Administrativa</t>
  </si>
  <si>
    <t xml:space="preserve">Proceso Adjudicado y en ejecucion  </t>
  </si>
  <si>
    <t>Contrato Ejecutado Se jecuto el 97,76%</t>
  </si>
  <si>
    <t>R. CUNDINAMARCA</t>
  </si>
  <si>
    <t xml:space="preserve">ADQUISICION DE EXTINTORES PORTATILES </t>
  </si>
  <si>
    <t>ASIGNAR A REGIONAL</t>
  </si>
  <si>
    <t xml:space="preserve">R. ANTIOQUIA </t>
  </si>
  <si>
    <t xml:space="preserve"> R. ATLANTICO</t>
  </si>
  <si>
    <t xml:space="preserve"> R.   VALLE</t>
  </si>
  <si>
    <t xml:space="preserve">R. NORTE SANTANDER </t>
  </si>
  <si>
    <t xml:space="preserve"> R. META</t>
  </si>
  <si>
    <t xml:space="preserve">ADQUISICION HERRAMIENTAS  DE RESCATE SEI-SAR  ).  (llaves spaner, Y de vifurcacion, reducciones, pitones, uniones </t>
  </si>
  <si>
    <t>Contrato Ejecutado Se jecuto e l98,32%</t>
  </si>
  <si>
    <t xml:space="preserve">ADQUISICION DE EQUIPOS DE PROTECCION PERSONAL SEI-SAR (Trajes Aluminizados,  kit de proteccion quimica,  overoles antiflama, </t>
  </si>
  <si>
    <t>Contrato Ejecutado Se jecutoel 99,56%</t>
  </si>
  <si>
    <t>ADQUISICION ELEMENTOS DE PROTECCION PERSONAL SEI-SAR (PROTECTORES AUDITIVOS, GAFAS, TAPA OIDOS, GUANTES EN CARNAZA, CINTURONESBOTAS EN CUERO GRASO Y CHAQUETAS,CAMISETAS )</t>
  </si>
  <si>
    <t>Contrato Ejecutado Se ejecuto el 99,32%</t>
  </si>
  <si>
    <t xml:space="preserve"> R. CUNDINAMARCA</t>
  </si>
  <si>
    <t xml:space="preserve">ADQUISICION  LOGISTICA  PARA SIMULACROS </t>
  </si>
  <si>
    <t xml:space="preserve"> R. NORTE SANTANDER </t>
  </si>
  <si>
    <t xml:space="preserve">MANTENIMIENTO  Y CONSERVACION DE EQUIPOS DE EXTINCION DE INCENDIOS Y BUSQUEDA Y RESCATE </t>
  </si>
  <si>
    <t>RECARGA DE EXTINTORES</t>
  </si>
  <si>
    <t xml:space="preserve">MANTENIMIENTO PREVENTIVO Y CORRECTIVO DE VEHICULOS DE RESCATE  SEI-SAR  </t>
  </si>
  <si>
    <t>ADQUISICION COMBUSTIBLES Y LUBRICANTES SEI-SAR</t>
  </si>
  <si>
    <t>RENOVACION LLANTAS  PARA LAS MAQUINAS CONTRA INCENDIOS Y CARROS DE RESCATE</t>
  </si>
  <si>
    <t>Contrato Ejecutado Se ejecuto el 99,49%</t>
  </si>
  <si>
    <t xml:space="preserve">MANTENIMIENTO PREVENTIVO Y CORRECTIVO DE EQUIPOS  SEI-SAR (INCLUYE REPUESTOS)  </t>
  </si>
  <si>
    <t>Contrato Ejecutado Se ejecuto el 99,59%</t>
  </si>
  <si>
    <t xml:space="preserve">MANTENIMIENTO DE MAQUINAS GRAN  CAPACIDAD </t>
  </si>
  <si>
    <t>PROYECTO A REALIZAR CON VIGENCIAS FUTURAS 2016</t>
  </si>
  <si>
    <t>Contrato en Ejecucion  con Vigencias Futuras  Se ejecuto el 99,56%</t>
  </si>
  <si>
    <t xml:space="preserve">MANTENIMIENTO PREVENTIVO CORRECTIVO DE  MAQUINAS DE BOMBEROS INTERVENCION RAPIDA </t>
  </si>
  <si>
    <t>Proceso Radicado Direccion Administrativa</t>
  </si>
  <si>
    <t>Contrato Ejecutado Se ejecuto el 98,99%</t>
  </si>
  <si>
    <t>ADQUISICION  EQUIPOS Y SERVICIOS MEDICOS PARA SANIDADES AEROPORTUARIAS</t>
  </si>
  <si>
    <t>ADQUISICIÓN  DE SERVICIOS MEDICOS</t>
  </si>
  <si>
    <t>CONTRATO CON VIGENCIAS FUTURAS DE 16-12-2014 A 15-12-2016</t>
  </si>
  <si>
    <t>Contrato en Ejecucion</t>
  </si>
  <si>
    <t>Contrato en Ejecucion con Vigencia Futura hasta Dic 15 de 2016  Durante la vigencia de 2015 se obtuvo una ejecucion del 99,60%</t>
  </si>
  <si>
    <t>ADQUISICION DE SERVICIOS DE ENFERMERIA</t>
  </si>
  <si>
    <t>ADQUISICION DE MEDICAMENTO-SUMINISTROS</t>
  </si>
  <si>
    <t>Estructuracion Proyecto</t>
  </si>
  <si>
    <t>Contrato Liquidado</t>
  </si>
  <si>
    <t>Contrato Liquidado Porcentaje ejecutado  61,19%</t>
  </si>
  <si>
    <t>ASIGNAR A REGIONALES</t>
  </si>
  <si>
    <t>ADQUISICION EQUIPOS MEDICOS</t>
  </si>
  <si>
    <t>Proyecto radicado Direccion Adtiva</t>
  </si>
  <si>
    <t xml:space="preserve">Si </t>
  </si>
  <si>
    <t>Contrato Liquidado Porcentaje ejecutado  99,59%</t>
  </si>
  <si>
    <t>GASTOS OPERACIONALES</t>
  </si>
  <si>
    <t>MANTO EQUIPOS MEDICOS</t>
  </si>
  <si>
    <t>MANTO AMBULANCIAS</t>
  </si>
  <si>
    <t>APROPIACIÓN (millones)
AJUSTES</t>
  </si>
  <si>
    <t xml:space="preserve">Se adjudica y ejecuta contrato 15000267-OJ de adquisición, instalación y puesta en funcionamiento de computadores,  se reciben a satisfacción los equipos  a nivel nacional de acuerdo al Listado de Distribución .
Se obliga el total del valor del contrato.
Evidencia en carpeta del proceso en T:\2015\Sec_General\Informatica\15000082OI
Carpeta del contrato  en: J:\3400-Informatica\DocApoyo\Avance Contratos 2015\15000267-OJ
</t>
  </si>
  <si>
    <t>SE REALIZÓ POR LA ACTIVIDAD DE SOLUCIONES INFORMATICAS INTEGRADO A LA  MESA DE SERVICIOS. VF HASTA 2018</t>
  </si>
  <si>
    <t xml:space="preserve">Se reabre y  ejecuta proceso precontractual  15000047A-OL acorde al cronograma. Evidencia procesos de contratación en T:\2015\Sec_General\Informatica\precontractuales\15000047 A -OL- ADQ SERVIDORES SISTEMA ALMACENAMIENTO SAN
Se esta ejecutando contrato 15000308-OH se reciben, instalan y colocan en producciómn los equipos y software a satisfacción acorde a lo requerido.
Pendiente migración
Evidencia en: J:\3400-Informatica\DocApoyo\Avance Contratos 2015\15000308-OJ-2015
</t>
  </si>
  <si>
    <t>Adquisición, Instalación y Puesta en Funcionamiento de Servidor ORACLE  DATABASE APPLIANCE (ODA) para WEBLOGIC,   Software ORACLE y Servicios Conexos</t>
  </si>
  <si>
    <t xml:space="preserve">Se realiza la implementación y ejecución de servicios contratados. Se reciben a satisfacción y se obliga el valor total del contrato.
</t>
  </si>
  <si>
    <t>PROCESO ADJUDICADO EN JUNIO DE 2015, CONTRATO EJECUTADO Y OBLIGADO EN SU TOTALIDAD. SE RADICÓ PAGO TOTAL.</t>
  </si>
  <si>
    <t>Adquisición de Pantalla para Dirección General.
** Nuevo con saldos de presupuesto</t>
  </si>
  <si>
    <t>Adquisición de Pantalla.</t>
  </si>
  <si>
    <t>Proceso adjudicado y contratado, se reciben  equipo a  satisfacción, el contrato se obliga en su totalidad.</t>
  </si>
  <si>
    <t>Se reciben las licencias adquiridas y se ejecutan lo servicios contratados los cuales son recibidos a satisfacción.  Se obliga la totalidad del contrato.</t>
  </si>
  <si>
    <t>RADICADO EL 02/06/2015  EN PROCESO PRECONTRACTUAL;
30/09/2015: EN CONFORMACION DE PLIEGOS - ADMINISTRATIVA INFORMA QUE LO ADELANTARA HACIA OCTUBRE.
Se adelanta proceso precontractual y es adjudicado el proceso a finales de Diciembre, se reciben las licencias a satidfacción. Pendiente radicar la cuenta hasta que el Contratista (UnionTemporal) aporte el RUT.</t>
  </si>
  <si>
    <t>ADQUISICION DE LICENCIAS DE SOFTWARE - UPGRADE A VMWARE VSPHERE 6 WITH OPERATION MANAGEMENT ENTERPRISE PLUS.
** Nuevo con saldos sobrantes de presupuesto</t>
  </si>
  <si>
    <t>ADQUISICION DE LICENCIAS DE SOFTWARE - UPGRADE A VMWARE VSPHERE 6 WITH OPERATION MANAGEMENT ENTERPRISE PLUS.</t>
  </si>
  <si>
    <t>Proceso adjudicado y contratado, se reciben las licencias  a satisfacción, el contrato se obliga en su totalidad.</t>
  </si>
  <si>
    <t>ADQUISICION DE LICENCIAS TOAD PARA ORACLE
** Nuevo con saldos sobrantes de presupuesto</t>
  </si>
  <si>
    <t>ADQUISICION DE LICENCIAS TOAD PARA ORACLE</t>
  </si>
  <si>
    <t>ADQUISICION DE LICENCIAS MS PROJECT 
** Nuevo con saldos sobrantes de presupuesto</t>
  </si>
  <si>
    <t xml:space="preserve">ADQUISICION DE LICENCIAS MS PROJECT </t>
  </si>
  <si>
    <t xml:space="preserve">Se  adjudica proceso y se ejecuta contrato, se reciben todos los elementos y equipos adquiridos acorde a lo contratado. Se reciben a satisfacción la instalación de aeropuertos Saravena, Tame y Guaymaral.  Pendiente el resto de aeropuertos.Se obligó el 60% del valor del contrato. </t>
  </si>
  <si>
    <t>PROCESO ADJUDICADO. CONTRATO 15000100-OH  EN EJECUCION, FINALIZÓ EN AGOSTO.
A 30/09/2015:  Se realiza pago total del contrato.
Contrato ejecutado y recibido a satisfacción.</t>
  </si>
  <si>
    <t xml:space="preserve">Se adjufica contrato 15000280-OK de mesa de ayuda y  solución de servicios integrados de impresión. Se realiza implementación del servicio.
Evidencia:  J:\3400-Informatica\DocApoyo\Avance Contratos 2015\15000280-OK.
Se obligó la implementacion del servicio. </t>
  </si>
  <si>
    <t xml:space="preserve">CONTRATO 15000178-OH, se realizó:
Levantamiento de información para el desarrollo de la solución adquirida
 2. Implementación  Pruebas de funcionalidad del software desarrollado para los trámites de:
  a. Plan de vuelo
  b. Exámenes de licencias técnicas
  c. Entrega de licencias
  d. Inscripción al sistema de licencias
 3. Alistamiento de los dispositivos biométricos para la solución adquirida.
Pendiente:
Utilizar el servicio contratado de transacciones de consulta a las bases de datos de la Registraduría Nacional del Estado Civil (RNEC) mediante un operador biométrico (CERTICAMARA el contratista). Para poder realizar estas consultas y consumir el servicio  se requiere obligatoriamente de la suscripción de un CONVENIO INTERADMINISTRATIVO entre la AEROCIVIL y la RNEC (Este convenio es de CERO PESOS).
</t>
  </si>
  <si>
    <r>
      <t xml:space="preserve">Adquisición, instalación  y puesta en funcionamiento de solución informática de software para las áreas misionales, que apoye la gestión del SSP “State Safety Program”  </t>
    </r>
    <r>
      <rPr>
        <sz val="10"/>
        <color rgb="FFFF0000"/>
        <rFont val="Calibri"/>
        <family val="2"/>
      </rPr>
      <t xml:space="preserve">y SMS “Safety Management System” ** eliminar **  </t>
    </r>
    <r>
      <rPr>
        <sz val="10"/>
        <color indexed="8"/>
        <rFont val="Calibri"/>
        <family val="2"/>
      </rPr>
      <t>para la Aeronáutica Civil.
(Fase -  Entrega documento de entendimiento y validación de requerimientos funcionales y técnicos)</t>
    </r>
  </si>
  <si>
    <t>Se realizaron todos los estudios previos (estudio de viabilidad, estudios de mercado, definición de especificaciones técnicas, plan del proyecto, etc) y se adelantó la documentación para el trámite de Vigencias Futuras.
Evidencia: J:\3401-Ingenieria\2015\3401.352 Estudios de Viabilidad\SMS-SPP
JUSTIFICACION:  El presupuesto  asignado para la vigencia 2016 al Proyecto Adquisición de Equipos, Sistemas y Servicios Informáticos para el Plan Nacional de Informática es de 4.457 millones de pesos, en consecuencia y revisando el Estudio Final de Costos del proyecto de software para el SSP  el cual para el 2016  requiere un presupuesto estimado de 1.460 millones de pesos y teniendo en cuenta  los proyectos a ejecutar también por vigencias futuras de: Adquisición de los servicios de canales de comunicación para los Sistemas de Información de la Entidad y el  de Migración y Rediseño de los Portales Intranet e Internet de la Entidad  que para el 2016 requerían según los estudios de un presupuesto estimado de 3.876  millones de pesos,  en vista a la falta de presupuesto la Dirección de Informática tomó la decisión de no considerar adelantar el  proyecto de SSP para este año y dar prioridad al de Canales de Comunicación y al de Migración y Rediseño de Portales de la Entidad por su criticidad.</t>
  </si>
  <si>
    <t>Proceso adjudicado y contratado, se reciben los certificados a satisfacción, el contrato se obliga en su totalidad.</t>
  </si>
  <si>
    <t>Una vez aprobadas las vigencias futuras en Octubre 08 de 2015 se adelanta y ejecuta proceso precontractual de la Licitación 15000061-OL el cual de acuerdo a su cronograma  permite la adjudicaciión del contrato  15000343-OH solo hasta  el 23 de diciembre de 2015, se adelantaron actividades de inicio correspondiente.</t>
  </si>
  <si>
    <t>SOLUCION DE CORREO ELECTRONICO CERTIFICADO
** Nuevo de acuerdo a requerimiento de OTA.</t>
  </si>
  <si>
    <t>SOLUCION DE CORREO ELECTRONICO CERTIFICADO</t>
  </si>
  <si>
    <t>Se realiza proceso precontractual y es adjudicado contrato, se recibe a satisfacción el servicios y  es obligado el contrato en su totalidad.</t>
  </si>
  <si>
    <t>No se ejecuta.</t>
  </si>
  <si>
    <t>PROCESO ADJUDICADO EL 09/07/2015; CONTRATO 15000169-OH EJECUTADO EN SU TOTALIDAD. Se reciben, instalan e implementan los servicios acorde a lo contratado. Se recibe a satisfacción y se obliga la totalidad del contrato.</t>
  </si>
  <si>
    <t>ADQUISICION DE CERTIFICADOR PARA LA RED DE DATOS  
** Nuevo con saldos sobrantes de presupuesto</t>
  </si>
  <si>
    <t xml:space="preserve">ADQUISICION DE CERTIFICADOR PARA LA RED DE DATOS  </t>
  </si>
  <si>
    <t>Se realiza proceso precontractual y es adjudicado contrato, se recibe a satisfacción el equipo y es obligado el contrato en su totalidad.</t>
  </si>
  <si>
    <t xml:space="preserve">Canales de comunicación para los sistemas de información. 
PRÓRROGA CONTRATO </t>
  </si>
  <si>
    <t>Se ejecutó acorde al plazo adicional. Contrato obligado en su totalidad.</t>
  </si>
  <si>
    <t>Canales de comunicación para los sistemas de información.  COMPRA NUEVOS CANALES POR COLOMBIA COMPRA EFICIENTE</t>
  </si>
  <si>
    <t>ADJUDICADO, CONTRATO 15000083-OH EN EJECUCION.
A 31/12/2015: SE ENCUENTRA EN EJECUCION HASTA EL 31 DE ENERO DE 2016</t>
  </si>
  <si>
    <t>Adquisición e implementación de los servicios de canales de comunicaciones para los sistemas de información.  (CONTINUIDAD AL SERVICIO 2016 - 2017)  TRAMITE VF</t>
  </si>
  <si>
    <t>Adquisición e implementación de los servicios de canales de comunicaciones para los sistemas de información.  (CONTINUIDAD AL SERVICIO 2016 - 2017)</t>
  </si>
  <si>
    <t>Son aprobadas las Vigencias Futuras y se adquieren los servicios acorde a lo programado, El contrato se ejecutará hasta mediados de 2017.</t>
  </si>
  <si>
    <r>
      <t xml:space="preserve">Análisis e Implementación SGSI Fase I 
Defensa de la red de datos de la UAEAC - Fase II
</t>
    </r>
    <r>
      <rPr>
        <b/>
        <i/>
        <sz val="10"/>
        <color rgb="FFFF0000"/>
        <rFont val="Calibri"/>
        <family val="2"/>
      </rPr>
      <t>Desfinanciada</t>
    </r>
  </si>
  <si>
    <t>NO SE EJECUTÓ POR FALTA DE PRESUPUSTO</t>
  </si>
  <si>
    <t>Debido a que los servidores se encuentran en garantía el valor pasó al proyecto de mesa de servicios para completar el ppto requerido.</t>
  </si>
  <si>
    <t xml:space="preserve">Contrato finalizado el 25 de septiembre.  </t>
  </si>
  <si>
    <t>Contrato finalizado el 30 de junio de 2015</t>
  </si>
  <si>
    <t>MANTENIMIENTO DE EQUIPOS MICROCOMPUTADORES E IMPRESORAS Y SERVICIOS DE SOPORTE INFORMATICO, MESA DE AYUDA Y ATENCION A USUARIOS</t>
  </si>
  <si>
    <t>Contrato finalizado el 7 de septiembre de 2015</t>
  </si>
  <si>
    <t>Contrato en ejecución hasta el 2018 por vigencias futuras.  Valor reserva presupuestal $131.311.658</t>
  </si>
  <si>
    <t>Contrato finalizado el 31 de diciembre de 2015</t>
  </si>
  <si>
    <t>El servicio fue incluido como prate integral del proyecto de Mesa de Servicios.</t>
  </si>
  <si>
    <t>MANTENIMIENTO AL SOFTWARE DEL SISTEMA INFORMACION PAF (JDEDWARDS).</t>
  </si>
  <si>
    <t>Contrato finalizado el 31 de diciembre de 2015.</t>
  </si>
  <si>
    <t>Adición JDEdwards</t>
  </si>
  <si>
    <t>SOPORTE Y MANTENIMIENTO AL SOFTWARE DEL SISTEMA DE INFORMACION DE TESORERIA ALFA GL</t>
  </si>
  <si>
    <t>Adición AlfaGL (tesoreria)</t>
  </si>
  <si>
    <t xml:space="preserve">MANTENIMIENTO AL SOFTWARE DEL SISTEMA DE INFORMACION DE TALENTO HUMANO  - SITAH </t>
  </si>
  <si>
    <t>MANTENIMIENTO AL SOFTWARE DEL SISTEMA DE INFORMACION SIGMA</t>
  </si>
  <si>
    <t>Proceso declarado desierto en 3 ocaciones diferentes durante la vgencia 2015.  No se adjudicó</t>
  </si>
  <si>
    <t>MANTENIMIENTO AL SOFTWARE DEL SISTEMA DE INFORMACION DE GESTION DOCUMENTAL  - ADI</t>
  </si>
  <si>
    <t>MANTENIMIENTO AL SOFTWARE DEL  SISTEMA DE INFORMACION SETA</t>
  </si>
  <si>
    <t>SOPORTE Y  MANTENIMIENTO  AL SOFTWARE DEL SISTEMA DE INFORMACION AERONAUTICO SIA/AIM</t>
  </si>
  <si>
    <t>MANTENIMIENTO  AL SOFTWARE DE LOS SISTEMAS MICROSOFT - SOPORTE PREMIER</t>
  </si>
  <si>
    <t>MANTENIMIENTO AL SOFTWARE DEL SISTEMA DE INFORMACION DE  PROCESOS JUDICIALES - ORION</t>
  </si>
  <si>
    <t xml:space="preserve">MANTENIMIENTO AL SOFTWARE DEL SISTEMA DE INFORMACION COMPENDIOS JURIDICOS </t>
  </si>
  <si>
    <t>SIAII - Alejandria</t>
  </si>
  <si>
    <t>SOPORTE Y MANTENIMIENTO AL SOFTWARE DEL SISTEMA DE INFORMACION ACADEMICO DEL CEA - SIA II</t>
  </si>
  <si>
    <t>ACTUALIZACION Y MANTENIMIENTO AL SOFTWARE  DATAPROTECTOR</t>
  </si>
  <si>
    <t>MANTENIMIENTO  Y SOPORTE TECNICO AL SOFTWARE DE GESTION DE CONTROL DE COMPUTO - BSM</t>
  </si>
  <si>
    <t>MANTENIMIENTO AL SOFTWARE DEL SISTEMA DE INFORMACION DE GESTION AERONAUTICA - SIGA</t>
  </si>
  <si>
    <t>Adición SIGA</t>
  </si>
  <si>
    <t>MANTENIMIENTO AL SOFTWARE DEL SISTEMA DE INFORMACION PARA ASIGNACION DE TURNOS Y MANEJO DE DIARIO DE SEÑALES - CONTROLT</t>
  </si>
  <si>
    <t>SOPORTE Y MANTENIMIENTO AL SISTEMA INTEGRADO DE GESTIÓN MECI Y CALIDAD</t>
  </si>
  <si>
    <t xml:space="preserve">MANTENIMIENTO  AL SOFTWARE DEL SISTEMA DE INFORMACIÓN INTELIGENTE - COGNOS </t>
  </si>
  <si>
    <t>Proceso radicado en la Dirección Administrativa en oct de 2015.  En diciembre solicitan cambio de tipo de contratación porque el tiempo no alcanza para menor cuantía.  Se realiza cambio de documentos para minima cuantía, pero no se alcanza a radicar nuevamente.  No se tramitó.</t>
  </si>
  <si>
    <t>ACTUALIZACION Y MANTENIMIENTO AL SOFTWARE SPSS</t>
  </si>
  <si>
    <t>SOPORTE Y MANTENIMIENTO A LA PLATAFORMA VMWARE</t>
  </si>
  <si>
    <t>ACTUALIZACION Y MANTENIMIENTO AL SOFTWARE   MICROSTATION</t>
  </si>
  <si>
    <t>ACTUALIZACION Y MANTENIMIENTO AL SOFTWARE CONSTRUDATA</t>
  </si>
  <si>
    <t>Presupuesto Dicponible</t>
  </si>
  <si>
    <t>S</t>
  </si>
  <si>
    <t>C</t>
  </si>
  <si>
    <t>OAP</t>
  </si>
  <si>
    <t>SIIF</t>
  </si>
  <si>
    <t>NC</t>
  </si>
  <si>
    <t>N</t>
  </si>
  <si>
    <t>Dependencia: Regional Cundinamarca - Of Desarrollo aeroportuario</t>
  </si>
  <si>
    <t>DESASIGNÓ</t>
  </si>
  <si>
    <t>MANTENIMIENTO Y ADECUCION VIA DE ACCESO</t>
  </si>
  <si>
    <t>TOTUMO</t>
  </si>
  <si>
    <t>MANTENIMIENTO Y ADECUCION VIA DE ACCESO TOTUMO</t>
  </si>
  <si>
    <t>VIA DE ACCESO ESTACIONES AERONAUTICAS</t>
  </si>
  <si>
    <t xml:space="preserve">VIA DE ACCESO ESTACIONES AERONAUTICAS </t>
  </si>
  <si>
    <t xml:space="preserve">MANTENIMIENTO LIMPIEZA VOR Y RADAR </t>
  </si>
  <si>
    <t>MANTENIMIENTO GENERAL LETICIA</t>
  </si>
  <si>
    <t>MANTENIMIENTO BASES LUCES PAPI - PLCAS HUELLA</t>
  </si>
  <si>
    <t>MANTENIMIENTO NDB</t>
  </si>
  <si>
    <t xml:space="preserve">MANTENIMIENTO CASA AUXILIAR DE PLANTAS  </t>
  </si>
  <si>
    <t>MANTENIMIENTO VOR INCLUYE LIMPIEZA, MANTENIMIENTO CASA Y REPARACIÓN DEL CERRAMIENTO POR DERRUMBE</t>
  </si>
  <si>
    <t>LAS LOMAS</t>
  </si>
  <si>
    <t>MANTENIMIENTO VOR INCLUYE LIMPIEZA, MANTENIMIENTO CASA Y REPARACIÓN DEL CERRAMIENTO POR DERRUMBE LAS LOMAS</t>
  </si>
  <si>
    <t>PUBLICADOS EN SECOP Y ENTIDAD LIQUIDADO</t>
  </si>
  <si>
    <t>MANTENIMIENTO GENERAL ESTACIÓN - CASA DE AUXILIAR Y CUARTO DE PLANTAS</t>
  </si>
  <si>
    <t>PUERTO LEGUIZAMO</t>
  </si>
  <si>
    <t>MANTENIMIENTO GENERAL ESTACIÓN - CASA DE AUXILIAR Y CUARTO DE PLANTAS PUERTO LEGUIZAMO</t>
  </si>
  <si>
    <t>MANTENIMIENTO GENERAL DE LA ESTACIÓN - CASA DE PLANTAS, CASA DE TÉCNICOS, CASA DE AUXILIAR</t>
  </si>
  <si>
    <t>MANTENIMIENTO GENERAL DE LA ESTACIÓN - CASA DE PLANTAS, CASA DE TÉCNICOS, CASA DE AUXILIAR ARARACUARA</t>
  </si>
  <si>
    <t>MANTENIMIENTO EL TOTUMO</t>
  </si>
  <si>
    <t>MANTENIMIENTO EL TOTUMO TOTUMO</t>
  </si>
  <si>
    <t xml:space="preserve">MANTENIMIENTO ESTACION </t>
  </si>
  <si>
    <t>ZIPAQUIRA</t>
  </si>
  <si>
    <t>MANTENIMIENTO ESTACION  ZIPAQUIRA</t>
  </si>
  <si>
    <t>MANTENIMIENTO ESTACION BUVIS LEGUIZAMO</t>
  </si>
  <si>
    <t xml:space="preserve">BUVIS </t>
  </si>
  <si>
    <t xml:space="preserve">MANTENIMIENTO ESTACION BUVIS LEGUIZAMO BUVIS </t>
  </si>
  <si>
    <t>MANTENIMIENTO ESTACION ESPINAL</t>
  </si>
  <si>
    <t>ESPINAL</t>
  </si>
  <si>
    <t>MANTENIMIENTO ESTACION ESPINAL ESPINAL</t>
  </si>
  <si>
    <t>MANTENIMIENTO ESTACION PICALENA</t>
  </si>
  <si>
    <t>MANTENIMIENTO ESTACION PICALENA IBAGUE</t>
  </si>
  <si>
    <t xml:space="preserve">MANTENIMIENTO GENERAL VOR </t>
  </si>
  <si>
    <t>AMBALEMA</t>
  </si>
  <si>
    <t>MANTENIMIENTO GENERAL VOR  AMBALEMA</t>
  </si>
  <si>
    <t>MANTENIMIENTO  GENERAL VOR</t>
  </si>
  <si>
    <t>SAN JORGE -totumo</t>
  </si>
  <si>
    <t>MANTENIMIENTO GENERAL VOR  SAN JORGE - TOTUMO</t>
  </si>
  <si>
    <t>MANTENIMIENTO ESTACIÓN CASA Y POZOS SEPTICOS</t>
  </si>
  <si>
    <t>MANTENIMIENTO ESTACIÓN CASA Y POZOS SEPTICOS SAN JORGE -totumo</t>
  </si>
  <si>
    <t xml:space="preserve">CONSTRUCCION PLANTA DE TRATAMIENTO </t>
  </si>
  <si>
    <t>CONSTRUCCION PLANTA DE TRATAMIENTO  EL TABLAZO</t>
  </si>
  <si>
    <t>PICALEÑA</t>
  </si>
  <si>
    <t>MANTENIMIENTO GENERAL VOR  PICALEÑA</t>
  </si>
  <si>
    <t>MANTENIMIENTO CERRAMIENTOS</t>
  </si>
  <si>
    <t xml:space="preserve">MANTENIMIENTO DE CERRAMIENTOS </t>
  </si>
  <si>
    <t>Adecuacion y Mantenimiento de cerramiento aeropuerto Navas Pardo</t>
  </si>
  <si>
    <t>CHAPARRAL</t>
  </si>
  <si>
    <t>Adecuacion y Mantenimiento de cerramiento aeropuerto Navas Pardo Chaparral</t>
  </si>
  <si>
    <t xml:space="preserve">MANTENIMIENTO, PINTURA Y ADECUACIÓN </t>
  </si>
  <si>
    <t>MANTENIMIENTO, PINTURA Y ADECUACIÓN  GUAYMARAL</t>
  </si>
  <si>
    <t>MANTENIMIENTO DEL CERRAMIENTO DEL AEROPUERRO INCLUYE LIMPIEZA DE MALLA ESLABONADA, CAMBIO E INSTALACION DE CONCERTINA Y REPARACION DE MALLA EN MAL ESTADO</t>
  </si>
  <si>
    <t>MANTENIMIENTO DEL CERRAMIENTO DEL AEROPUERRO INCLUYE LIMPIEZA DE MALLA ESLABONADA, CAMBIO E INSTALACION DE CONCERTINA Y REPARACION DE MALLA EN MAL ESTADO LETICIA</t>
  </si>
  <si>
    <t>MANTENIMIENTO CERRAMIENTO</t>
  </si>
  <si>
    <t>SAN VICENTE DEL CAGUAN</t>
  </si>
  <si>
    <t>MANTENIMIENTO CERRAMIENTO SAN VICENTE DEL CAGUAN</t>
  </si>
  <si>
    <t>440 mts DE MALLA ESLABONADA Y 3.729 MTS DE ALAMBRE DE PÚA Y POSTES DE CEMENTO</t>
  </si>
  <si>
    <t>VILLAGARZON</t>
  </si>
  <si>
    <t>440 mts DE MALLA ESLABONADA Y 3.729 MTS DE ALAMBRE DE PÚA Y POSTES DE CEMENTO VILLAGARZON</t>
  </si>
  <si>
    <t>PUBLICADO EN SECOP Y ENTIDAD LIQUIDADO</t>
  </si>
  <si>
    <t xml:space="preserve">MANTENIMIENTO CERRAMIENTO </t>
  </si>
  <si>
    <t>PAIPA</t>
  </si>
  <si>
    <t>MANTENIMIENTO CERRAMIENTO  PAIPA</t>
  </si>
  <si>
    <t>MANTENIMIENTO DE CERRAMIENTO BUVIS</t>
  </si>
  <si>
    <t>MANTENIMIENTO DE CERRAMIENTO BUVIS BUVIS</t>
  </si>
  <si>
    <t>RETIRO DE MALEZA Y APLICACIÓN DE PINTURAS (TRIMESTRAL)</t>
  </si>
  <si>
    <t>RETIRO DE MALEZA Y APLICACIÓN DE PINTURAS (TRIMESTRAL) FLORENCIA</t>
  </si>
  <si>
    <t>REPARACIÓN DEL CERRAMIENTO POR DERRUMBE</t>
  </si>
  <si>
    <t>LOMAS</t>
  </si>
  <si>
    <t>REPARACIÓN DEL CERRAMIENTO POR DERRUMBE LOMAS</t>
  </si>
  <si>
    <t>MANTENIMIENTO CERRAMIENTO Y REJAS DE INGRESO AL TERMINAL</t>
  </si>
  <si>
    <t>MANTENIMIENTO CERRAMIENTO Y REJAS DE INGRESO AL TERMINAL NEIVA</t>
  </si>
  <si>
    <t xml:space="preserve">MANTENIMIENTO DE PLATAFORMAS </t>
  </si>
  <si>
    <t>DEMARCACIÓN PLATAFORMA</t>
  </si>
  <si>
    <t>PITALITO</t>
  </si>
  <si>
    <t>DEMARCACIÓN PLATAFORMA PITALITO</t>
  </si>
  <si>
    <t>DEMARCACIÓN  PLATAFORMA</t>
  </si>
  <si>
    <t>DEMARCACIÓN  PLATAFORMA FLORENCIA</t>
  </si>
  <si>
    <t>PUERTO ASÍS</t>
  </si>
  <si>
    <t>DEMARCACIÓN  PLATAFORMA PUERTO ASIS</t>
  </si>
  <si>
    <t>MANTENIMIENTO ANTIGUA PLATAFORMA</t>
  </si>
  <si>
    <t>MANTENIMIENTO ANTIGUA PLATAFORMA PUERTO ASÍS</t>
  </si>
  <si>
    <t>DEMARCACIÓN PLATAFORMA PUERTO ASÍS</t>
  </si>
  <si>
    <t xml:space="preserve">MANTENIMIENTO DE PISTAS. </t>
  </si>
  <si>
    <t>PAVIMENTACIÓN CALLE INGRESO A PLATAFORMA</t>
  </si>
  <si>
    <t>PAVIMENTACIÓN CALLE INGRESO A PLATAFORMA PITALITO</t>
  </si>
  <si>
    <t>MANTO PISTA</t>
  </si>
  <si>
    <t>MANTO PISTA PAIPA</t>
  </si>
  <si>
    <t>MANTENIMIENTO CALLE DE RODAJE DELTA BACHES</t>
  </si>
  <si>
    <t>MARIQUITA</t>
  </si>
  <si>
    <t>MANTENIMIENTO CALLE DE RODAJE DELTA BACHES MARIQUITA</t>
  </si>
  <si>
    <t xml:space="preserve">DEMARCACIÓN PISTA </t>
  </si>
  <si>
    <t>DEMARCACIÓN PISTA  PITALITO</t>
  </si>
  <si>
    <t>EXPLANACIÓN ZONAS DE SEGURIDAD</t>
  </si>
  <si>
    <t>EXPLANACIÓN ZONAS DE SEGURIDAD FLORENCIA</t>
  </si>
  <si>
    <t xml:space="preserve">DEMARCACIÓN PISTA, CALLES DE RODAJE </t>
  </si>
  <si>
    <t xml:space="preserve">DEMARCACIÓN PISTA, CALLES DE RODAJE  </t>
  </si>
  <si>
    <t>DEMARCACIÓN PISTAS Y CALLES DE RODAJE</t>
  </si>
  <si>
    <t>DEMARCACIÓN PISTAS Y CALLES DE RODAJE PUERTO ASÍS</t>
  </si>
  <si>
    <t>MANTENIMIENTO PISTA</t>
  </si>
  <si>
    <t xml:space="preserve">MANTENIMIENTO PISTA </t>
  </si>
  <si>
    <t>CONSTRUCCIÓN BERMA PISTA LUCES</t>
  </si>
  <si>
    <t xml:space="preserve">CONSTRUCCIÓN BERMA PISTA LUCES </t>
  </si>
  <si>
    <t xml:space="preserve">MANTENIMIENTO DE ZONAS DE SEGURIDAD Y CANALES. </t>
  </si>
  <si>
    <t>ROCERÍA Y LIMPIEZA</t>
  </si>
  <si>
    <t>ROCERÍA Y LIMPIEZA CHAPARRAL</t>
  </si>
  <si>
    <t>ROCERÍA Y LIMPIEZA FLORENCIA</t>
  </si>
  <si>
    <t>FLANDES</t>
  </si>
  <si>
    <t>ROCERÍA Y LIMPIEZA FLANDES</t>
  </si>
  <si>
    <t>ROCERÍA Y LIMPIEZA GUAYMARAL</t>
  </si>
  <si>
    <t xml:space="preserve">RESERVA </t>
  </si>
  <si>
    <t>ROCERÍA Y LIMPIEZA LETICIA</t>
  </si>
  <si>
    <t>ROCERÍA Y LIMPIEZA MARIQUITA</t>
  </si>
  <si>
    <t>ROCERÍA Y LIMPIEZA NEIVA</t>
  </si>
  <si>
    <t>ROCERÍA Y LIMPIEZA PAIPA</t>
  </si>
  <si>
    <t>ROCERÍA Y LIMPIEZA PITALITO</t>
  </si>
  <si>
    <t>ROCERÍA Y LIMPIEZA PUERTO ASÍS</t>
  </si>
  <si>
    <t>ROCERÍA Y LIMPIEZA SAN VICENTE DEL CAGUAN</t>
  </si>
  <si>
    <t>ROCERÍA Y LIMPIEZA IBAGUE</t>
  </si>
  <si>
    <t>ROCERÍA Y LIMPIEZA LETICIA1</t>
  </si>
  <si>
    <t>ROCERÍA Y LIMPIEZA NEIVA1</t>
  </si>
  <si>
    <t>VILLA GARZON</t>
  </si>
  <si>
    <t>ROCERÍA Y LIMPIEZA VILLA GARZON</t>
  </si>
  <si>
    <t xml:space="preserve">REVESTIMIENTO EN CONCRETO CANALES 1820 MTS </t>
  </si>
  <si>
    <t>REVESTIMIENTO EN CONCRETO CANALES 1820 MTS  PUERTO ASIS</t>
  </si>
  <si>
    <t>MANTENIMIENTO TORRES DE CONTROL.</t>
  </si>
  <si>
    <t>MANTENIMIENTO DE TORRE CONTROL</t>
  </si>
  <si>
    <t xml:space="preserve">MANTENIMIENTO DE TORRE CONTROL </t>
  </si>
  <si>
    <t>MATENIMIENTO TORRE CONTROL</t>
  </si>
  <si>
    <t>MATENIMIENTO TORRE CONTROL VILLA GARZON</t>
  </si>
  <si>
    <t>MATENIMIENTO TORRE CONTROL GUAYMARAL</t>
  </si>
  <si>
    <t>MATENIMIENTO TORRE CONTROL IBAGUE</t>
  </si>
  <si>
    <t>CUENTAS POR PAGAR</t>
  </si>
  <si>
    <t xml:space="preserve">MANTENIMIENTO DE TERMINALES. </t>
  </si>
  <si>
    <t xml:space="preserve">MANTENIMIENTO TERMINAL </t>
  </si>
  <si>
    <t>MANTENIMIENTO TERMINAL  PUERTO ASÍS</t>
  </si>
  <si>
    <t>ADECUACIÓN SAL VIP</t>
  </si>
  <si>
    <t xml:space="preserve">ADECUACIÓN SAL VIP </t>
  </si>
  <si>
    <t>MANTENIMIENTO BAÑOS PÚBLICOS INCLUYE CAMBIOS DE PISOS</t>
  </si>
  <si>
    <t>MANTENIMIENTO SAN VICENTE DEL CAGUAN</t>
  </si>
  <si>
    <t>MANTENIMIENTO PARQUEADERO</t>
  </si>
  <si>
    <t>MANTENIMIENTO TERMINAL</t>
  </si>
  <si>
    <t>MEJORAMIENTO VÍAS DE INGRESO</t>
  </si>
  <si>
    <t>MANTENIMIENTO TERMINAL LETICIA</t>
  </si>
  <si>
    <t>MANTENIMIENTO TERMINAL IBAGUE</t>
  </si>
  <si>
    <t>MANTENIMIENTO TERMINAL VILLA GARZON</t>
  </si>
  <si>
    <t>MANTENIMIENTO GENERAL</t>
  </si>
  <si>
    <t>MANTENIMIENTO GENERAL CHAPARRAL</t>
  </si>
  <si>
    <t>MANTENIMIENTO GENERAL TERMINAL</t>
  </si>
  <si>
    <t>MANTENIMIENTO GENERAL TERMINAL MARIQUITA</t>
  </si>
  <si>
    <t>MANTENIMIENTO GENERAL PAIPA</t>
  </si>
  <si>
    <t>INSTALACIÓN VENTANERIA SALAS DE ABORDAJE Y RECIBO DE EQUIPAJES</t>
  </si>
  <si>
    <t>INSTALACIÓN VENTANERIA SALAS DE ABORDAJE Y RECIBO DE EQUIPAJES PITALITO</t>
  </si>
  <si>
    <t>MANTENIMIENTO BAÑOS PÚBLICOS</t>
  </si>
  <si>
    <t>MANTENIMIENTO BAÑOS PÚBLICOS NEIVA</t>
  </si>
  <si>
    <t>MANTENIMIENTO TERMINAL -(PINTURA Y AJUSTES DE PUERTAS)</t>
  </si>
  <si>
    <t xml:space="preserve">MANTENIMIENTO TERMINAL -(PINTURA Y AJUSTES DE PUERTAS) </t>
  </si>
  <si>
    <t>CONSTRUCCIÓN UNIDAD SANITARIA ELECTRÓNICA</t>
  </si>
  <si>
    <t xml:space="preserve">CONSTRUCCIÓN UNIDAD SANITARIA ELECTRÓNICA </t>
  </si>
  <si>
    <t>MANTENIMIENTO OFICINA DE ELECTRÓNICA</t>
  </si>
  <si>
    <t xml:space="preserve">MANTENIMIENTO OFICINA DE ELECTRÓNICA </t>
  </si>
  <si>
    <t xml:space="preserve">MANTENIMIENTO DE CUARTELES DE BOMBEROS. </t>
  </si>
  <si>
    <t>CUARTEL DE BOMBEROS</t>
  </si>
  <si>
    <t>CUARTEL DE BOMBEROS FLANDES</t>
  </si>
  <si>
    <t>MANTENIMIENTO GENERAL ESTACIÓN DE BOMBEROS</t>
  </si>
  <si>
    <t>MANTENIMIENTO GENERAL ESTACIÓN DE BOMBEROS GUAYMARAL</t>
  </si>
  <si>
    <t>MANTENIMIENTO Y ADECUACION HANGAR CUARTEL DE BOMBEROS</t>
  </si>
  <si>
    <t>IBAGUÉ</t>
  </si>
  <si>
    <t>MANTENIMIENTO Y ADECUACION HANGAR CUARTEL DE BOMBEROS IBAGUÉ</t>
  </si>
  <si>
    <t>MANTENIMIENTO AREA DE COMBUSTIBLE BOMBEROS</t>
  </si>
  <si>
    <t xml:space="preserve">MANTENIMIENTO AREA DE COMBUSTIBLE BOMBEROS </t>
  </si>
  <si>
    <t>MANTENIMIENTO AREA DE COMBUSTIBLE  BOMBEROS</t>
  </si>
  <si>
    <t>MANTENIMIENTO AREA DE COMBUSTIBLE  BOMBEROS NEIVA</t>
  </si>
  <si>
    <t>MANTENIMIENTO CUARTEL DE BOMBEROS</t>
  </si>
  <si>
    <t xml:space="preserve">MANTENIMIENTO CUARTEL DE BOMBEROS </t>
  </si>
  <si>
    <t>MANTENIMIENTO (PINTURA) CUARTEL DE BOMBEROS</t>
  </si>
  <si>
    <t>MANTENIMIENTO (PINTURA) CUARTEL DE BOMBEROS PITALITO</t>
  </si>
  <si>
    <t>ADECUACIÓN SALIDA PRINCIPAL DE LA ESTACIÓN DE BOMBEROS A LA PISTA</t>
  </si>
  <si>
    <t>ADECUACIÓN SALIDA PRINCIPAL DE LA ESTACIÓN DE BOMBEROS A LA PISTA FLORENCIA</t>
  </si>
  <si>
    <t>MANTENIMIENTO GENERAL ESTACIÓN DE BOMBEROS PUERTO ASÍS</t>
  </si>
  <si>
    <t>ADECUACION  PUERTO FLOTANTE CABECERA 30</t>
  </si>
  <si>
    <t>ADECUACION  PUERTO FLOTANTE CABECERA 30 FLORENCIA</t>
  </si>
  <si>
    <t>MANTENIMIENTO Y  ADECUACIONES CASETAS DE SEGURIDAD 6</t>
  </si>
  <si>
    <t>MANTENIMIENTO Y  ADECUACIONES CASETAS DE SEGURIDAD 6  FLORENCIA</t>
  </si>
  <si>
    <t>MANTENIMIENTO GENERAL DE LA TORRE Y OFICINA DE INSPECTORES DE MANIOBRAS</t>
  </si>
  <si>
    <t>MANTENIMIENTO GENERAL DE LA TORRE Y OFICINA DE INSPECTORES DE MANIOBRAS GUAYMARAL</t>
  </si>
  <si>
    <t>PUBLICADOS EN SECOP Y ENTIDAD</t>
  </si>
  <si>
    <t>REMODELACION OFICINA AIS COM MET</t>
  </si>
  <si>
    <t xml:space="preserve">REMODELACION OFICINA AIS COM MET </t>
  </si>
  <si>
    <t>SE DECLARO DESIERTO</t>
  </si>
  <si>
    <t>MANTENIMIENTO CUARTEL DE POLICIA</t>
  </si>
  <si>
    <t>ROSAL</t>
  </si>
  <si>
    <t>MANTENIMIENTO CUARTEL DE POLICIA ROSAL</t>
  </si>
  <si>
    <t>INSTALACIONES AEROPORTUARIAS AISS COMMET - GUAYMARAL</t>
  </si>
  <si>
    <t>INSTALACIONES AEROPORTUARIAS AISS COMMET - GUAYMARAL GUAYMARAL</t>
  </si>
  <si>
    <t>MANTENIMIENTO CUARTEL DE POLICIA ESPINAL</t>
  </si>
  <si>
    <t>MANTENIMIENTO VOR</t>
  </si>
  <si>
    <t>MANTENIMIENTO VOR SAN VICENTE DEL CAGUAN</t>
  </si>
  <si>
    <t xml:space="preserve">MANTENIMIENTO PARQUEADERO </t>
  </si>
  <si>
    <t xml:space="preserve">MANTENIMIENTO TANQUE </t>
  </si>
  <si>
    <t xml:space="preserve">MANTENIMIENTO TANQUE  </t>
  </si>
  <si>
    <t>MANTENIMIENTO CUARTEL DE POLICIA EL TABLAZO</t>
  </si>
  <si>
    <t>MTT. INFRAESTRUCTURA COMPLEMENTARIA PARQUEADERO - SAN VICENTE DEL CAGUAN</t>
  </si>
  <si>
    <t>MTT. INFRAESTRUCTURA COMPLEMENTARIA PARQUEADERO - SAN VICENTE DEL CAGUAN SAN VICENTE DEL CAGUAN</t>
  </si>
  <si>
    <t>NVO. PROCESO TANQUE SAN VICIENTE  (MTTO TANQUE VILLA GARZÓNNO VA POR SER NIVEL CENTRAL EN LP)</t>
  </si>
  <si>
    <t>NVO. PROCESO TANQUE SAN VICIENTE  (MTTO TANQUE VILLA GARZÓNNO VA POR SER NIVEL CENTRAL EN LP) SAN VICENTE DEL CAGUAN</t>
  </si>
  <si>
    <t>MANTENIMIENTO TANQUE  VILLAGARZON</t>
  </si>
  <si>
    <t>ADECUACION RESIDUO COMBUSTIBLE</t>
  </si>
  <si>
    <t>ADECUACION RESIDUO COMBUSTIBLE MARIQUITA</t>
  </si>
  <si>
    <t>REUBICACIÓN TANQUES DE COMBUSTIBLE</t>
  </si>
  <si>
    <t>REUBICACIÓN TANQUES DE COMBUSTIBLE PUERTO ASÍS</t>
  </si>
  <si>
    <t>MANTENIMIENTO Y CONSTRUCCIÓN CASETAS DE VIGILANCIA</t>
  </si>
  <si>
    <t>MANTENIMIENTO Y CONSTRUCCIÓN CASETAS DE VIGILANCIA PUERTO ASIS</t>
  </si>
  <si>
    <t>REMODELACIONES ÁREA DE SANIDAD AEROPORTUARIA</t>
  </si>
  <si>
    <t>REMODELACIONES ÁREA DE SANIDAD AEROPORTUARIA PUERTO ASIS</t>
  </si>
  <si>
    <t>CONSTRUCCIÓN BAÑO SUBESTACIÓN ELÉCTRICA</t>
  </si>
  <si>
    <t xml:space="preserve">CONSTRUCCIÓN BAÑO SUBESTACIÓN ELÉCTRICA </t>
  </si>
  <si>
    <t>CONSTRUCCIÓN BODEGA ALMACENAJE SUBESTACIÓN</t>
  </si>
  <si>
    <t xml:space="preserve">CONSTRUCCIÓN BODEGA ALMACENAJE SUBESTACIÓN </t>
  </si>
  <si>
    <t xml:space="preserve">REVESTIMIENTO EN CONCRETO CANALES 1820 MTS  </t>
  </si>
  <si>
    <t>DEMOLICIÓN Y CONSTRUCCIONES ZONAS DE SEGURIDAD</t>
  </si>
  <si>
    <t>DEMOLICIÓN Y CONSTRUCCIONES ZONAS DE SEGURIDAD FLORENCIA</t>
  </si>
  <si>
    <t xml:space="preserve">CONSTRUCCIÓN 2 PUERTAS DE EMERGENCIA PISTAS CON SUS RESPECTIVAS VÍAS </t>
  </si>
  <si>
    <t xml:space="preserve">CONSTRUCCIÓN 2 PUERTAS DE EMERGENCIA PISTAS CON SUS RESPECTIVAS VÍAS  </t>
  </si>
  <si>
    <t>CONSTRUCCIÓN VÍAS DE ACCESO TANQUES DE COMBUSTIBLE</t>
  </si>
  <si>
    <t xml:space="preserve">CONSTRUCCIÓN VÍAS DE ACCESO TANQUES DE COMBUSTIBLE </t>
  </si>
  <si>
    <t>ADECUACIONES SANIDAD AEROPORTUARIA</t>
  </si>
  <si>
    <t xml:space="preserve">ADECUACIONES SANIDAD AEROPORTUARIA </t>
  </si>
  <si>
    <t>CONSTRUCCIÓN CANILES PONAL</t>
  </si>
  <si>
    <t xml:space="preserve">CONSTRUCCIÓN CANILES PONAL </t>
  </si>
  <si>
    <t>ADECUACIÓN INSTALACIONES PARA OFICINAS DE IR</t>
  </si>
  <si>
    <t xml:space="preserve">ADECUACIÓN INSTALACIONES PARA OFICINAS DE IR </t>
  </si>
  <si>
    <t>DESAGÜES AGUAS LLUVIAS TORRE DE CONTROL</t>
  </si>
  <si>
    <t>DESAGÜES AGUAS LLUVIAS TORRE DE CONTROL NEIVA</t>
  </si>
  <si>
    <t>MANTENIMIENTO GENERAL TORRE DE CONTROL</t>
  </si>
  <si>
    <t xml:space="preserve">MANTENIMIENTO GENERAL TORRE DE CONTROL </t>
  </si>
  <si>
    <t>REMODELACIÓN ÁREAS DE SANIDAD CERTIFICACIÓN</t>
  </si>
  <si>
    <t xml:space="preserve">REMODELACIÓN ÁREAS DE SANIDAD CERTIFICACIÓN </t>
  </si>
  <si>
    <t>INSONORIZACIÓN SUBESTACIÓN OFICINA ELÉCTRICA Y ADECUACIÓN ÁREAS</t>
  </si>
  <si>
    <t xml:space="preserve">INSONORIZACIÓN SUBESTACIÓN OFICINA ELÉCTRICA Y ADECUACIÓN ÁREAS </t>
  </si>
  <si>
    <t>CONSTRUCCIÓN SENDERO PEATONAL BOMBEROS TORRE DE CONTROL</t>
  </si>
  <si>
    <t xml:space="preserve">CONSTRUCCIÓN SENDERO PEATONAL BOMBEROS TORRE DE CONTROL </t>
  </si>
  <si>
    <t>MANTENIMIENTO  GENERAL VOR SAN JORGE -totumo</t>
  </si>
  <si>
    <t>ADECUACIÓN MANTENIMIENTO Y MEJORAMIENTO DE LA INFRAESTRUCTURA AMBIENTAL AEROPORTUARIA.</t>
  </si>
  <si>
    <t>TRATAMIENTO AGUAS RESIDUALES</t>
  </si>
  <si>
    <t>TRATAMIENTO AGUAS RESIDUALES LETICIA</t>
  </si>
  <si>
    <t>TRATAMIENTO AGUAS RESIDUALES GUAYMARAL</t>
  </si>
  <si>
    <t>TRATAMIENTO AGUAS RESIDUALES FLORENCIA</t>
  </si>
  <si>
    <t>TRATAMIENTO AGUAS RESIDUALES PUERTO ASIS</t>
  </si>
  <si>
    <t>TRATAMIENTO AGUAS RESIDUALES VILLAGARZON</t>
  </si>
  <si>
    <t>TRATAMIENTO AGUAS RESIDUALES IBAGUE</t>
  </si>
  <si>
    <t>TRATAMIENTO AGUAS RESIDUALES SAN VICENTE DEL CAGUAN</t>
  </si>
  <si>
    <t>TRATAMIENTO POZOS SEPTICOS</t>
  </si>
  <si>
    <t>TRATAMIENTO POZOS SEPTICOS MARIQUITA</t>
  </si>
  <si>
    <t>TRATAMIENTO POZOS SEPTICOS NEIVA</t>
  </si>
  <si>
    <t>CONEXIÓN AGUAS RESIDUALES DE TORRE DE CONTROL Y CUARTEL DE BOMBEROS A RED DE ALCANTARILLADO DE LA CIUDAD</t>
  </si>
  <si>
    <t xml:space="preserve">CONEXIÓN AGUAS RESIDUALES DE TORRE DE CONTROL Y CUARTEL DE BOMBEROS A RED DE ALCANTARILLADO DE LA CIUDAD </t>
  </si>
  <si>
    <t>CONEXIÓN ACUEDUCTO VEREDAL AEROPUERTO</t>
  </si>
  <si>
    <t>CONEXIÓN ACUEDUCTO VEREDAL AEROPUERTO PITALITO</t>
  </si>
  <si>
    <t>TRATAMIENTO AGUAS RESIDUALES FLANDES</t>
  </si>
  <si>
    <t>TRATAMIENTO DE AGUA</t>
  </si>
  <si>
    <t>ELROSAL</t>
  </si>
  <si>
    <t>TRATAMIENTO DE AGUA ELROSAL</t>
  </si>
  <si>
    <t>MANTENIMIENTO POZOS SÉPTICOS</t>
  </si>
  <si>
    <t>MANTENIMIENTO POZOS SÉPTICOS SAN VICENTE DEL CAGUAN</t>
  </si>
  <si>
    <t>POZOS SEPTICOS</t>
  </si>
  <si>
    <t>POZOS SEPTICOS SAN JORGE -totumo</t>
  </si>
  <si>
    <t>MANTENIMIENTO DE SISTEMAS DE MANEJO Y DISPOSICIÓN DE RESIDUOS SOLIDOS.</t>
  </si>
  <si>
    <t xml:space="preserve">MANTENIMIENTO DE SISTEMAS DE MANEJO Y DISPOSICIÓN DE RESIDUOS SOLIDOS. </t>
  </si>
  <si>
    <t xml:space="preserve"> CENTRO DE ACOPIO</t>
  </si>
  <si>
    <t xml:space="preserve"> CENTRO DE ACOPIO PUERTO ASÍS</t>
  </si>
  <si>
    <t>TERMINACIÓN CENTRO DE ACOPIO</t>
  </si>
  <si>
    <t>TERMINACIÓN CENTRO DE ACOPIO LETICIA</t>
  </si>
  <si>
    <t xml:space="preserve">ADECUACIÓN CENTRO DE ACOPIO RESIDUOS </t>
  </si>
  <si>
    <t>ADECUACIÓN CENTRO DE ACOPIO RESIDUOS  FLORENCIA</t>
  </si>
  <si>
    <t>MANTENIMIENTO INSTALACIONES HIDRAULICAS</t>
  </si>
  <si>
    <t xml:space="preserve">MANTENIMIENTO INSTALACIONES HIDRAULICAS </t>
  </si>
  <si>
    <t>MANTENIMIENTO INSTALACIONES HIDRAULICAS REGIONAL</t>
  </si>
  <si>
    <t>ADECUACION ACOMETIDA</t>
  </si>
  <si>
    <t>ADECUACION ACOMETIDA PITALITO</t>
  </si>
  <si>
    <t>PROGRAMAS DE CONTROL GEOTÉCNICO.</t>
  </si>
  <si>
    <t xml:space="preserve">PROGRAMAS DE CONTROL GEOTÉCNICO. </t>
  </si>
  <si>
    <t xml:space="preserve">PODA ARBOLES </t>
  </si>
  <si>
    <t>PODA ARBOLES  REGIONAL</t>
  </si>
  <si>
    <t>MEJORAMIENTO SISTEMAS TRATAMIENTO DE AGUAS</t>
  </si>
  <si>
    <t xml:space="preserve">MEJORAMIENTO SISTEMAS TRATAMIENTO DE AGUAS </t>
  </si>
  <si>
    <t xml:space="preserve">MEJORAMIENTO </t>
  </si>
  <si>
    <t xml:space="preserve">ESTACIÓN TABLAZO </t>
  </si>
  <si>
    <t xml:space="preserve">MEJORAMIENTO  ESTACIÓN TABLAZO </t>
  </si>
  <si>
    <t>AEROPUERTO DE FLORENCIA</t>
  </si>
  <si>
    <t>MEJORAMIENTO  AEROPUERTO DE FLORENCIA</t>
  </si>
  <si>
    <t>PROGRAMAS DE MANTENIMIENTO DE PELIGRO AVIARIO</t>
  </si>
  <si>
    <t xml:space="preserve">PROGRAMAS DE MANTENIMIENTO DE PELIGRO AVIARIO </t>
  </si>
  <si>
    <t>PELIGRO AVIARIO</t>
  </si>
  <si>
    <t>PELIGRO AVIARIO LETICIA</t>
  </si>
  <si>
    <t xml:space="preserve">IBAGUE </t>
  </si>
  <si>
    <t xml:space="preserve">PELIGRO AVIARIO IBAGUE </t>
  </si>
  <si>
    <t>PELIGRO AVIARIO NEIVA</t>
  </si>
  <si>
    <t xml:space="preserve">FLORENCIA </t>
  </si>
  <si>
    <t xml:space="preserve">PELIGRO AVIARIO FLORENCIA </t>
  </si>
  <si>
    <t>PELIGRO AVIARIO PUERTO ASIS</t>
  </si>
  <si>
    <t>PELIGRO AVIARIO SAN VICENTE DEL CAGUAN</t>
  </si>
  <si>
    <t>PELIGRO AVIARIO GUAYMARAL</t>
  </si>
  <si>
    <t>PELIGRO AVIARIO PITALITO</t>
  </si>
  <si>
    <t>PELIGRO AVIARIO VILLA GARZON</t>
  </si>
  <si>
    <t>PELIGRO AVIARIO MARIQUITA</t>
  </si>
  <si>
    <t>PELIGRO AVIARIO FLANDES</t>
  </si>
  <si>
    <t>MANTENIMIENTO CASAS FISCALES</t>
  </si>
  <si>
    <t>MANTENIMIENTO CASAS FISCALES LETICIA</t>
  </si>
  <si>
    <t>MANTENIMIENTO</t>
  </si>
  <si>
    <t>CNA</t>
  </si>
  <si>
    <t>MANTENIMIENTO CNA</t>
  </si>
  <si>
    <t>MANTENIMIENTO SEDE ADMINISTRATIVA</t>
  </si>
  <si>
    <t>MANTENIMIENTO SEDE ADMINISTRATIVA GUAYMARAL</t>
  </si>
  <si>
    <t xml:space="preserve">MANTENIMIENTO Y ADECUACION CASA FISCAL ADMINISTRATIVA </t>
  </si>
  <si>
    <t>MANTENIMIENTO Y ADECUACION CASA FISCAL ADMINISTRATIVA  FLORENCIA</t>
  </si>
  <si>
    <t>MODULO ATENCIÓN AL USUARIO</t>
  </si>
  <si>
    <t>MODULO ATENCIÓN AL USUARIO NEIVA</t>
  </si>
  <si>
    <t>ADECUACIÓN GIMNASIO FUNCIONARIOS</t>
  </si>
  <si>
    <t xml:space="preserve">ADECUACIÓN GIMNASIO FUNCIONARIOS </t>
  </si>
  <si>
    <t>MANTENIMIENTO Y ADECUACIONES CENTRO VACACIONAL</t>
  </si>
  <si>
    <t>MANTENIMIENTO Y ADECUACIONES CENTRO VACACIONAL MARIQUITA</t>
  </si>
  <si>
    <t>MANTENIMIENTO CASA FISCAL</t>
  </si>
  <si>
    <t xml:space="preserve">MANTENIMIENTO CASA FISCAL </t>
  </si>
  <si>
    <t>CEA</t>
  </si>
  <si>
    <t>MANTENIMIENTO CEA</t>
  </si>
  <si>
    <t>MANTENIMIENTO OFICINAS AIS COM MET</t>
  </si>
  <si>
    <t>MANTENIMIENTO OFICINAS AIS COM MET IBAGUÉ</t>
  </si>
  <si>
    <t>ELABORACIÓN DE PROGRAMAS DE MONITOREO DE CALIDAD DE AGUAS, AIRE, RUIDO Y MANEJO DE RESIDUOS SOLIDOS.</t>
  </si>
  <si>
    <t xml:space="preserve"> REGIONAL</t>
  </si>
  <si>
    <t>ESTUDIOS AMBIENTALES.</t>
  </si>
  <si>
    <t>ESTUDIOS TRATAMIENTO DE AGUSA PITALITO Y FLORENCIA</t>
  </si>
  <si>
    <t>ESTUDIOS TRATAMIENTO DE AGUSA PITALITO Y FLORENCIA REGIONAL</t>
  </si>
  <si>
    <t>TOTAL  DESARROLLO AEROPORTUARIO</t>
  </si>
  <si>
    <t>Dependencia: Regional Cundinamarca - Of Telecomunicaciones</t>
  </si>
  <si>
    <t>ADQUISICIÓN DE EQUIPOS Y SISTEMAS DE ENERGÍA SOLAR Y COMERCIAL A NIVEL NACIONAL.</t>
  </si>
  <si>
    <t>ADQUISICION INSTALACION, CALIBRACION, PRUEBA Y PUESTA EN FUNCIONAMIENTO SISTEMAS UPS, CARGADORES DE BATERIA, RECTIFICADORES Y/O REACONDICIONAMIENTO</t>
  </si>
  <si>
    <t xml:space="preserve">ADQUISICION DE BATERIAS PARA LAS UPS DE LOS AEROPUERTOS DE LETICIA,PTO AIS, GUAYMARAL, SIMULADOR RADAR CEA,SUBESTACION CNA Y EQUIPOS VARIABLES TORRES DE CONTROL </t>
  </si>
  <si>
    <t>ADQUISICION INSTALACION, CALIBRACION, PRUEBA Y PUESTA EN FUNCIONAMIENTO DE GRUPOS ELECTRÓGENOS Y COMPLEMENTARIOS (INCLUYE OBRAS CIVILES) A NIVEL NACIONAL.</t>
  </si>
  <si>
    <t>ADQUISICION DE BATERIAS PARA GRUPOS ELECTROGENOS PARA LOS AEROPUERTOS Y ESTACIONES ADSCRITOS A LA REGIONAL CUNDINAMARCA</t>
  </si>
  <si>
    <t>MANTENIMIENTO Y CONSERVACIÓN DE EQUIPOS Y SISTEMAS AEROPORTUARIOS A NIVEL NACIONAL</t>
  </si>
  <si>
    <t>MANTENIMIENTO PREVENTIVO ASCENSORES TORRES DE CONTROL Y MINUSVÁLIDO</t>
  </si>
  <si>
    <t>MANTENIMIENTO ASCENSOR TORRE DE CONTROL NEIVA</t>
  </si>
  <si>
    <t>BOMBILLERIA</t>
  </si>
  <si>
    <t>MANTENIMIENTO ELECTROGENOS</t>
  </si>
  <si>
    <t>ADQUISICION DE FILTROS Y ACEITES PARA EL MANTENIMIENTO DE GRUPOS ELECTROGENOS DE LA ESTACIONES AERONAUTICAS DE LA REGIONAL CUNDINAMARCA.</t>
  </si>
  <si>
    <t>REPUESTOS PARA EL MANTENIMENTO MECANICO (MONTA-CARGAS, BANDAS DE EQUIPAJES, MONOPLANARES, MESA DE AFORO, BOMBAS SUMERGIBLES, BOMBAS DE GASOLINA, ETC)</t>
  </si>
  <si>
    <t>MANTENIMEINTO Y CONSERVACION SISTEMA DE TELECOMEUNICACIONES DE AYUDAS A LA NAVEGACION AEREA A NIVEL NACIONAL</t>
  </si>
  <si>
    <t>MANTENIMIENTO Y ACTUALIZACION DE LAS TRANSFERENCIAS AUTOMATICAS TIPO RED -PLANTA -PLANTA PARA LAS SUBETACIONES ELECTIRCAS</t>
  </si>
  <si>
    <t>MANTENIMIENTO CORRECTIVO Y PREVENTIVO DE LOS SISTEMAS DE UPS DEL EDIFICIO NEAA</t>
  </si>
  <si>
    <t xml:space="preserve">MANTENIMIENTO CORRECTIVO Y PREVENTIVO DE TODOS LOS PARAMETROS DE OPERACION DE LAS UPS 9390 160 KVA DE 30KVA Y 15 KVA CENTRO NACIONAL DE AERONAVEGACION </t>
  </si>
  <si>
    <t>MANTENIMIENTO PREVENTIVO Y CORRECTIVO DE TODOS LOS PARAMETROS DE OPERACION, ELEMENTOS DE MEDIDA TARJETAS DE CONTROL Y ACTUALIZACIN DEL FIRMWARE DE LOS SISTEMAS DE UPS MITSUBISHO SERIE 9700 DE 150KVA</t>
  </si>
  <si>
    <t>MANTENIMIENTO PREVENTIVO Y CORRECTIVO DE TODOS LOS PARAMETROS DE OPERACION, ELEMENTOS DE MEDIDA TARJETAS DE CONTROL Y ACTUALIZACIN DEL FIRMWARE DE LOS SISTEMAS DE UPS MITSUBISHO SERIE 9700 DE 150KVA AEROPUERTO ELDORADO</t>
  </si>
  <si>
    <t>MANTENIMIENTO Y ACTUALIZACION DE LOS SISTEMAS DE ENERGIA DE RESPALDO PARA LOS SHELTERS DE RADIOAYUDAS</t>
  </si>
  <si>
    <t>MANTENIMIENTO Y ACTUALIZACION DE LOS SISTEMAS DE ENERGIA DE RESPALDO PARA LOS SHELTERS DE RADIOAYUDAS AMBALEMA,BUVIS ESPINAL,LOMAS TOTUMO Y ZIPAQUIRA</t>
  </si>
  <si>
    <t>MANTENIMIENTO Y ACTUALIZACION DE LA ACOMETIDA ELECTRICA CON REUBICACION DE LA RED DE MEDIA TENSION DE LA ESTACION AGUAZUQUE</t>
  </si>
  <si>
    <t>ADQUISICION DE COMBUSTIBLE ACPM PLANTAS DE ARARACUARA.</t>
  </si>
  <si>
    <t xml:space="preserve">ADQUISICION DE VALES CANJEABLES POR COMBUSTIBLE </t>
  </si>
  <si>
    <t>ADQUISICION DE COMBUSTIBLE TIPO DIESEL(ACPM) PARA LOS GRUPOS ELECTROGENOS DE LA ZONA 2.</t>
  </si>
  <si>
    <t>ADQUISICION DE COMBUSTIBLE (ACPM) PARA LOS GRUPOS ELECTROGENOS DE LA ZONA 1</t>
  </si>
  <si>
    <t xml:space="preserve">TIQUETES DE PEAJE VARIOS </t>
  </si>
  <si>
    <t xml:space="preserve">ADQUISICION DE INSTRUMENTOS DE MEDICION PARA LOS SISTEMAS ELECTROMECANICOS </t>
  </si>
  <si>
    <t>ADQUISICION DE INSTRUMENTOS DE MEDICION PARA LOS SISTEMAS ELECTROMECANICOS DEL GRUPO DE ENERGIA DE LA REGIONAL CUNDINAMARCA</t>
  </si>
  <si>
    <t>ADQUISICION DE REPUESTOS PARA RED DE MICROONDAS CERAGO</t>
  </si>
  <si>
    <t>MANTENIMIENTO CONSERVACIÓN Y ACTUALIZACIÓN DE LOS SISTEMAS DE ENERGÍA Y SISTEMAS COMPLEMENTARIOS</t>
  </si>
  <si>
    <t>MANTENIMIENTO DE VEHÍCULOS</t>
  </si>
  <si>
    <t>21360801000000512_</t>
  </si>
  <si>
    <t>ADQUISICIÓN COMBUSTIBLE</t>
  </si>
  <si>
    <t>ADQUISICION DE COMBUSTIBLE ZONA 1 AGUAZUQUE,AMBALEMA,BUVIS,CEUTA,CNA,GUAYMARAL, IBAGUE,LAS LOMAS, MANJUI,MARIQUITA,NORMANDIA,ROSAL Y ZIPAQUIRA</t>
  </si>
  <si>
    <t>ADQUISICION DE COMBUSTIBLE ZONA 2 LETICIA,FLORENCIA, NEIVA,PTO ASIS, PTO LEGUIZAMO, SAN VICENTE Y VILLAGARZON</t>
  </si>
  <si>
    <t>ADQUISICIÓN DE HERRAMIENTAS DE PRUEBA Y MEDICIÓN PARA EL MANTENIMIENTO Y CONSERVACIÓN DE LOS SISTEMAS DE TELECOMUNICACIONES</t>
  </si>
  <si>
    <t>ADQUISICION INSTALACION REPUESTOS PARA MANTENIMIENTO SISTEMAS TELECOMUNICACIONES.</t>
  </si>
  <si>
    <t>ADQUISICION EQUIPOS Y REPUESTOS PARA  SISTEMAS AEROPORTUARIOS A NIVEL NACIONAL</t>
  </si>
  <si>
    <t>ADQUISICION DE REFLECTORES LED DE ALTA POTENCIA ESTACION DEL TABLAZO</t>
  </si>
  <si>
    <t>ADQUISICION DE RADIOS DE BANDA AEREA CON ANTENAS, FUENTES REGULADAS Y BATERIAS</t>
  </si>
  <si>
    <t>ADQUISICION DE RADIOS DE BANDA AEREA CON ANTENAS, FUENTES REGULADAS Y BATERIAS PARA LAS DIFERENTES TORRES DE CONTROL Y ESTACIONES DE LA REGIONAL C/MARCA</t>
  </si>
  <si>
    <t>ADQUISICION DE AUDIFONOS BINAULARES</t>
  </si>
  <si>
    <t>ADQUISICIÓN INSTALACIÓN CALIBRACIÓN, PRUEBA Y PUESTA EN SERVICIO DE SISTEMAS DE ILUMINACIÓN.</t>
  </si>
  <si>
    <t xml:space="preserve">ADQUISICION, INSTALACION, CALIBRACION, PRUEBA Y PUESTA EN SERVICIO DE EQUIPOS PARA LOS SISTEMAS AEROPORTUARIOS </t>
  </si>
  <si>
    <t>TOTAL  TELECOMUNICACIONES</t>
  </si>
  <si>
    <t>Dependencia: Regional Cundinamarca - Of Bomberos</t>
  </si>
  <si>
    <t>ADQUISICION EQUIPOS DE PROTECCION Y EXTINCION DE INCENDIOS BUSQUEDA Y RESCATE</t>
  </si>
  <si>
    <t>ADQUISICION DE ELEMENTOS PARA LA REALIZACION DE SIMULACROS SEI</t>
  </si>
  <si>
    <t>ADQUISICION DE ELEMENTOS PARA LA REALIZACION DE SIMULACROS SEI DE LA DIRECCION REGIONAL C/MARCA</t>
  </si>
  <si>
    <t>MANTENIMIENTO Y CONSERVACION DE  EQUIPOS DE PROTECCION Y EXTINCION DE INCENDIOS BUSQUEDA Y RESCATE</t>
  </si>
  <si>
    <t>RECARGUE DE EXTINTORES</t>
  </si>
  <si>
    <t>RECARGA DE EXTINTORES (CEA - BOGOTA , GRUPO VUELOS BOGOTA, ALAMCEN BOGOTA, NEA BOGOTA, CEA BOGOTA, ESTACION SOACHA, AEROPUERTOS MARIQUITA, FLANDES, NEIVA, FLORENCIA, IBAGUE, LETICIA, PUERTO ASIS, GUARMARAL, SAN VICENTE, CHAPARRAL, PAIPA, PITALITO).</t>
  </si>
  <si>
    <t>MANTENIMIENTO PREVENTIVO Y CORRECTIVO DE VEHICULOS DE RESCATE SEI SAR</t>
  </si>
  <si>
    <t>MANTENIMIENTO PREVENTIVO Y CORRECTIVO DE VEHICULOS DE RESCATE SEI SAR AEROPUERTO LETICIA</t>
  </si>
  <si>
    <t>ADQUISICION DE COMBUSTIBLES Y LUBRICANTES SEI-SAR</t>
  </si>
  <si>
    <t>CONTRATAR LA ADQUISICION DE VALES O CHEQUES CANJEABLES POR COMBUSTIBLE (ACPM), PARA PROVEER DEL MISMO A LAS MAQUINAS DE BOMBEROS DE LOS AEROPUERTOS DE FLANDES FLORENCIA, GUAYMARAL, IBAGUE, LETICIA, MARIQUITA,NEIVA Y PUERTO ASIS ADSCRITOS A LA 
DIRECCION REGIONAL CUNDINAMARCA</t>
  </si>
  <si>
    <t>TOTAL  BOMBEROS</t>
  </si>
  <si>
    <t>Dependencia: Regional Cundinamarca - Of Salud Ocupacional</t>
  </si>
  <si>
    <t>ADQUISICION DE ELEMENTOS Y EQUIPOS DE PROTECCION PERSONAL</t>
  </si>
  <si>
    <t>ADQUISICION DE ELEMENTOS PROTECCION PERSONAL PARA LOS FUNCIONARIOS DE LA DIRECCION REGIONAL CUNDINAMARCA, DIRECCION DE TELECOMUNICACIONES, AEROPUERTOS ADSCRITOS (IBAGUE,NEIVA,CHAPARRALFLANDES, SAN VICENTE DEL CAGUAN, VILLA GARZON, PAIPA, LETICIA, FLORENCIA, PUERTO ASIS, GUAYMARAL, PITALITO Y MARIQUITA), Y ESTACIONES AERONAUTICAS</t>
  </si>
  <si>
    <t>ADQUISICION DE  EQUIPOS PARA DESARROLLO DE PROGRAMAS DE SALUD OCUPACIONAL</t>
  </si>
  <si>
    <t>CONTRATAR LA ADQUISICIÓN DE EQUIPOS  PARA EL DESARROLLO DEL PROGRAMA DE SALUD OCUPACIONAL PARA LOS AEROPUERTOS DE GUAYMARAL Y LETICIA</t>
  </si>
  <si>
    <t>ADQUISICION DE  EQUIPOS Y ELEMENTOS ERGONOMICOS</t>
  </si>
  <si>
    <t xml:space="preserve">CONTRATAR LA ADQUISICIÓN DE ELEMENTOS ERGONOMICOS PARA LA REGIONAL CUNDINAMARCA </t>
  </si>
  <si>
    <t>ADQUISICION DE  BOTIQUINES Y MEDICAMENTOS</t>
  </si>
  <si>
    <t>ADQUISICION DE BOTIQUINES Y MEDICAMENTOS PARA LA DIRECCION REGIONAL CUNDINAMARCA</t>
  </si>
  <si>
    <t>ADQUISICION DE  EQUIPOS Y ELEMENTOS PRIMEROS AUXILIOS</t>
  </si>
  <si>
    <t>CONTRATACION DE ACTIVIDADES DE SEÑALIZACION Y DEMARCACION</t>
  </si>
  <si>
    <t xml:space="preserve">CONTRATAR LAS ACTIVIDADES DE SEÑALIZACIÓN Y DEMARCACIÓN REGIONAL CUNDINAMARCA </t>
  </si>
  <si>
    <t>REALIZACION DE EVENTOS DEPORTIVOS Y DOTACION</t>
  </si>
  <si>
    <t>REALIZACION VACACIONES RECREATIVAS</t>
  </si>
  <si>
    <t>CONTRATAR REALIZACION DE VACACIONES RECREATIVAS PARA LOS HIJOS DE LOS FUNCIONARIOS DE LOS AEROPUERTOS DE NEIVA, IBAGUE, FLORENCIA,FLANDES, PTO ASIS Y LETICIA.</t>
  </si>
  <si>
    <t>ADQUISICION ELEMENTOS DEPORTIVOS Y ENSERES PARA DOTAR EL CENTRO VACACIONAL DEL AEROPUERTO MARIQUITA</t>
  </si>
  <si>
    <t xml:space="preserve">CONTRATAR LA ADQUISICION DE ACTIVIDADES DE SEMINARIO TALLER PARA LOS FUTUROS PENSUIONADOS DE LA DIRECCION REGIONAL CUNDINAMARCA </t>
  </si>
  <si>
    <t>ADQUISICION DE SERVICIOS MEDICOS PARA EL PROGRAMA DE SALUD OCUPACIONAL</t>
  </si>
  <si>
    <t xml:space="preserve">CONTRATAR LA PRESTACIÓN DE SERVICIOS MÉDICOS PARA DAR APOYO AL PROGRAMA DE SALUD OCUPACIONAL EN LA DIRECCIÓN REGIONAL CUNDINAMARCA Y SUS AEROPUERTOS ADSCRITOS (IBAGUE, NEIVA, CHAPARRAL, FLANDES, SAN VICENTE DEL CAGUAN, VILLA GARZON, PAIPA, LETICIA, FLORENCIA, PUERTO ASIS, GUYMARAL, PITALITO Y MARIQUITA). </t>
  </si>
  <si>
    <t>ADQUISICION DE PROGRAMAS DE INTERVENCION DE LAS CAMPAÑAS EPIDEMIOLOGICAS</t>
  </si>
  <si>
    <t>CONTRATAR LA ADQUISICION DE PROGRAMAS DE INTERVENCIONDE LAS CAMPAÑAS EPIDEMIOLOGICAS DE LA REGIONAL CUNDINAMARCA</t>
  </si>
  <si>
    <t>SERVICIO DE ACONDICIONAMIENTO FISICO DEPORTIVO PARA LOS FUNCIONARIOS EN LAS INSTALACIONES DE LA ENTIDAD</t>
  </si>
  <si>
    <t xml:space="preserve">CONTRATAR EL SERVICIO DE ACONDICIONAMIENTO FISICO DEPORTIVO PARA LOS BOMBEROS EN LAS INSTALACIONES DE LOS AEROPUERTOS DE FLORENCIA, FLANDES, IBAGUE Y NEIVA </t>
  </si>
  <si>
    <t>TOTAL  SALUD OCUPACIONAL</t>
  </si>
  <si>
    <t>Dependencia: Regional Cundinamarca - Of Sanidad Aeroportuaria</t>
  </si>
  <si>
    <t>ADQUISICION EQUIPOS Y SERVICIOS MEDICOS PARA SANIDADES AEROPORTUARIOS</t>
  </si>
  <si>
    <t>ADQUISICION INSUMOS Y ELEMENTOS SANIDADES )</t>
  </si>
  <si>
    <t>ADQUISICION DE ELEMENTOS GENERALES PARA LAS SANIDADES, RECOLECCION TRASLADO Y DISPOSICION FINAL DE RESIDUOS HOSPITALARIOS, RECARGAS DE CILINDROS DE OXIGENO Y ESTERILIZACION DE EQUIPOS MEDICOS DE LOS DE AEROPUERTOS DE LETICIA, IBAGUE, NEIVA, PUERTO ASIS, Y FLORENCIA, ADSCRITOS A LA DIRECCION REGIONAL CUNDINAMARCA</t>
  </si>
  <si>
    <t>MANTENIMIENTO EQUIPOS MEDICOS</t>
  </si>
  <si>
    <t>MANTENIMIENTO DE AMBULANCIAS</t>
  </si>
  <si>
    <t>CONTRATAR EL MANTENIMIENTO PREVENTIVO Y
CORRECTIVO DE LAS  AMBULANCIAS DE LOS AEROPUERTOS DE LETICIA, PTO ASIS, FLORENCIA NEIVA E IBAGUE.</t>
  </si>
  <si>
    <t>TOTAL  SANIDAD AEROPORTUARIA</t>
  </si>
  <si>
    <t>Dependencia: Regional Cundinamarca - Of CEA</t>
  </si>
  <si>
    <t>CONTRATACION DE DOCENTES, ASESORES PROFESIONALES</t>
  </si>
  <si>
    <t>TODOS</t>
  </si>
  <si>
    <t>CONTRATAR LOS SERVICIOS PROFESIONALES COMO LICENCIADA EN EDUCACION BASICA CON ENFASIS EN HUMANIDADES: ESPAÑOL Y LENGUAS EXTRANJERAS, PARA CAPACITAR EN INGLES A FUNCIONARIOS DEL GRUPO DE AERONAVEGACION (CONTROLADORES AEREOS) DE LA REGIONAL CUNDINAMARCA Y AEROPUERTOS ADSCRITOS</t>
  </si>
  <si>
    <t>TOTAL  CEA</t>
  </si>
  <si>
    <t>21360801000000511.</t>
  </si>
  <si>
    <t>MANTENIMIENTO PREVENTIVO Y CORRECTIVO, PARA LOS VEHÍCULOS QUE PRESTAN EL SERVICIO DE TRANSPORTE, PARA LAS ACTIVIDADES TECNICAS DESARROLLADAS EN LAS ESTACIONES Y AEROPUERTO DE LA REGIONAL CUNDINAMARCA.</t>
  </si>
  <si>
    <t xml:space="preserve">OCTUBRE </t>
  </si>
  <si>
    <t>CONTRATAR LA ADQUISICION DE TONNER PARA LAS IMPRESORAS DE LA REGIONAL CUNDINAMARCA SUS GRUPOS Y AEROPUERTOS ADSCRITOS A LA MISMA</t>
  </si>
  <si>
    <t xml:space="preserve">PRESTAR EL SERVICIO PERSONALES PARA APOYAR A LA DIRECCIÓN REGIONAL CUNDINAMARCA - GRUPO ADMINISTRATIVO Y FINANCIERO, EN LAS ACTIVIDADES DE ARCHIVO, CORRESPONDENCIA Y GESTIÓN DOCUMENTAL CON EL FIN DE SUBSANAR LOS HALLAZGOS ENCONTRADOS POR LA OFICINA DE CONTROL INTERNO Y DEMAS ORGANISMOS DE CONTROL </t>
  </si>
  <si>
    <t xml:space="preserve">PRESTACIÓN DE SERVICIOS PROFESIONALES AL GRUPO ADMINISTRATIVO Y FINANCIERO - DIRECCIÓN REGIONAL CUNDINAMARCA, PARA REALIZAR LOS TRAMITES DE SALUD OCUPACIONAL PARA EL CIERRE FISCAL DE LA VIGENCIA 2015 Y ACTUALIZAR EL REGISTRO DE INVENTARIOS DE ALMACEN </t>
  </si>
  <si>
    <t xml:space="preserve">PRESTAR SERVICIOS PERSONALES Y DE APOYO A LA GESTIÓN  PARA EL CONTROL DE ACTIVIDADES ADMINISTRATIVAS DE SEGUIMIENTO Y RESPUESTA OPORTUNA A LOS ASUNTOS DE LA DEPENDENCIA </t>
  </si>
  <si>
    <t>32060800100000202.</t>
  </si>
  <si>
    <t>ADQUISICIÓN DE EQUIPOS Y ELEMENTOS PARA LOS BRIGADISTAS DE LOS AEROPUERTOS DE IBAGUE, NEIVA, FLORENCIA, LETICIA DE LA DIRECCIÓN REGIONAL.</t>
  </si>
  <si>
    <t>2040101.</t>
  </si>
  <si>
    <t>ADQUISICION DE GUADAÑAS E HIDROLAVADORAS CON DESTINO A LOS AEROPUERTOS Y ESTACIONES ADSCRITAS A LA REGIONAL CUNDINAMARCA</t>
  </si>
  <si>
    <t>ADQUISICIÓN  DE PAPELERIA E INSUMOS PARA OFICINA CON DESTINO A LOS AEROPUERTOS Y ESTACIONES ADSCRITAS A LA REGIONAL CUNDINAMARCA DE LA UNIDAD ADMINISTRATIVA ESPECIAL DE AERONAUTICA CIVIL</t>
  </si>
  <si>
    <t>CONTRATAR EL AVALUO DE RENTA AL AREA LOCALIZADA EN EL COSTADO SUR ORIENTE DE LA ENTRADA 2 , DEL AEROPUERTO INTERNACIONAL ELD ORADO , CON DESTINO  A HANGAR</t>
  </si>
  <si>
    <t>AYUDA ECONOMICA ESPECIAL PARA HIJOS DISCAPACITADOS RESOLUCIÓN 1745 DEL 22-07-15</t>
  </si>
  <si>
    <t>ADQUISICION EXTINTORES  PORTATILES PARA LOS AEROPUERTOS Y ESTACIONES ADSCRITOS A LA REGIONAL CUNDINAMARCA.</t>
  </si>
  <si>
    <t>2040201-2040410-2040202</t>
  </si>
  <si>
    <t xml:space="preserve">ADQUISICIÓN DE MOBILIARIO Y ENSERES PARA LA REGIONAL CUNDINAMARCA, AREAS ADSCRITAS Y AEROPUERTOS DE SU JURISDICCIÓN DE LA UNIDAD ADMINISTRATIVA ESPECIAL DE AERONAUTICA CIVIL </t>
  </si>
  <si>
    <t>2015</t>
  </si>
  <si>
    <t>Rubro</t>
  </si>
  <si>
    <t>seguimiento a septiembre 30 de 2015</t>
  </si>
  <si>
    <t xml:space="preserve">Tiempo de Ejecucion </t>
  </si>
  <si>
    <t>Fecha Acta de Recibo Final y/o parcial</t>
  </si>
  <si>
    <t>Fecha de radicado pagos</t>
  </si>
  <si>
    <t>Fecha de Liquidacion</t>
  </si>
  <si>
    <t>113608002000001</t>
  </si>
  <si>
    <t>Aeropuerto de Buenaventura</t>
  </si>
  <si>
    <t>CONTRATAR EL MANTENIMIENTO DE LA VIA DE ACCESO A LA ESTACION AERONAUTICA VOR/DME BUENAVENTURA.</t>
  </si>
  <si>
    <t>Ago</t>
  </si>
  <si>
    <t>N.A.</t>
  </si>
  <si>
    <t>Dic</t>
  </si>
  <si>
    <t>WILLIAN AGUIRRE</t>
  </si>
  <si>
    <t>SOPORTE TECNICO</t>
  </si>
  <si>
    <t>2 Meses</t>
  </si>
  <si>
    <t>113608002000003</t>
  </si>
  <si>
    <t>Aeropuerto de Palmira</t>
  </si>
  <si>
    <t>CONTRATAR EL MANTENIMIENTO DE LA INFRAESTRUCTURA DE LOS SISTEMAS DE ENERGIA Y COMPLEMENTARIOS, INSONIRAZION DE LA SUBESTACION DE ENERGIA DE CALI, SALA DE MONITOREO Y CONTROL</t>
  </si>
  <si>
    <t>Abr</t>
  </si>
  <si>
    <t>Jul</t>
  </si>
  <si>
    <t>falta actualizar polizas
_5 Julio/2015 Acta Final</t>
  </si>
  <si>
    <t>_30 Julio/2015 Pago Final $64,038,938</t>
  </si>
  <si>
    <t>113608002000004</t>
  </si>
  <si>
    <t xml:space="preserve">MANTENIMIENTO GENERAL INFRAESTRUCTURA ESTACIONES </t>
  </si>
  <si>
    <t>Aeropuerto Armenia
Aeropuerto Buenanventura</t>
  </si>
  <si>
    <t>EL MANTENIMIENTO Y ADECUACION SALAS TECNICAS DE LOS AEROPUERTOS DE ARMENIA Y BUENAVENTURA, INSTALACION SISTEMAS VHF Y CONSOLAS</t>
  </si>
  <si>
    <t>Jun</t>
  </si>
  <si>
    <t>Oct</t>
  </si>
  <si>
    <t>113608003000004</t>
  </si>
  <si>
    <t>MANTENIMIENTO DE LAS ZONAS DE SEGURIDAD Y LIMPIEZA DE CANALES DEL AEROPUERTO GERARDO TOVAR LOPEZ.</t>
  </si>
  <si>
    <t>LUIS ANGEL CAICEDO MOSQUERA</t>
  </si>
  <si>
    <t>3 Meses</t>
  </si>
  <si>
    <t>Aeropuerto de Tumaco</t>
  </si>
  <si>
    <r>
      <t>MANTENIMIENTO ZONAS DE SEGURIDAD  Y LIMPIEZA DE CANALES DEL AEROPUERTO LA FLORIDA</t>
    </r>
    <r>
      <rPr>
        <sz val="9"/>
        <color theme="1"/>
        <rFont val="Arial"/>
        <family val="2"/>
      </rPr>
      <t>.</t>
    </r>
  </si>
  <si>
    <t>Aeropuerto de Guapi</t>
  </si>
  <si>
    <t>MANTENIMIENTO ZONAS DE SEGURIDAD  Y LIMPIEZA DE CANALES DEL AEROPUERTO JUAN CASIANO SOLIS.</t>
  </si>
  <si>
    <t>MANTENIMIENTO DE LAS ZONAS DE SEGURIDAD PARALELAS A LA PISTA DE ATERRIZAJE, CABECERAS DE LA PISTA DE ATERRIZAJE, ZONAS DE APROXIMACIÓN, ZONA EXTERNA DEL AEROPUERTO “SECTOR V.O.R. ANTENAS, RADIO FARO, VIA DE ACCESO” LIMPIEZA DE MALLAS PERIMETRAL PARTE INTERNA Y EXTERNA, LIMPIEZA DE CANALES DE ESCORRENTÍA EN TIERRA Y EL CONTROL DE VECTORES (FUMIGACION A CIELO ABIERTO) DEL AEROPUERTO GERARDO TOVAR LOPEZ AL SERVICIO DEL DISTRITO ESPECIAL DE BUENAVENTURA</t>
  </si>
  <si>
    <t>_2 Junio/2015 Acta Parcial No.1</t>
  </si>
  <si>
    <t>_19 de Junio/2015 pago parcial No.1 $26,410,300</t>
  </si>
  <si>
    <r>
      <t>MANTENIMIENTO DE LAS ZONAS DE SEGURIDAD PARALELAS A LA PISTA DE ATERRIZAJE, CABECERAS DE LA PISTA DE ATERRIZAJE,  ZONA EXTERNA “ZONA VERDE DEL PARQUEADERO, ZONA VERDE CASA TÉCNICA, ” LIMPIEZA DE MALLA PERIMETRAL PARTE INTERNA Y EXTERNA, LIMPIEZA DE CANALES DE ESCORRENTÍAS EN CONCRETO, DEL AEROPUERTO LA FLORIDA AL SERVICIO DEL MUNICIPIO DE TUMACO - NARIÑO</t>
    </r>
    <r>
      <rPr>
        <b/>
        <sz val="9"/>
        <color theme="1"/>
        <rFont val="Calibri"/>
        <family val="2"/>
        <scheme val="minor"/>
      </rPr>
      <t> </t>
    </r>
  </si>
  <si>
    <t>_19 Junio/2015 Pago parcial No.1 $26,292,792</t>
  </si>
  <si>
    <t>MANTENIMIENTO DE LAS ZONAS DE SEGURIDAD PARALELAS A LA PISTA DE ATERRIZAJE, CABECERAS DE LA PISTA DE ATERRIZAJE,  ZONA EXTERNA “RADIO FARO, CASA CELADOR, CASA PLANTAS”, LIMPIEZA DE MALLA PERIMETRAL, LIMPIEZA DE CANALES DE ESCORRENTÍAS EN BARRO, DEL AEROPUERTO JUAN CASIANO SOLÍS AL SERVICIO DEL MUNICIPIO DE GUAPI - CAUCA</t>
  </si>
  <si>
    <t>_19 Junio/2015 Pago parcial No.1 $26.245.348</t>
  </si>
  <si>
    <t>Aeropuerto de Popayán</t>
  </si>
  <si>
    <t>MANTENIMIENTO DE LAS ZONAS DE SEGURIDAD PARALELAS A LA PISTA DE ATERRIZAJE, CABECERAS 2.5 Y 0.7,  ZONA VERDE PLATAFORMA, ZONA VERDE EXTERNA, LIMPIEZA DE CANALES PARALELOS A LA PISTA DE ATERRIZAJE Y CANALES DE AGUAS LLUVIAS EN TIERRA DEL AEROPUERTO GUILLERMO LEON VALENCIA  AL SERVICIO DE LA CIUDAD DE POPAYÁN - CAUCA</t>
  </si>
  <si>
    <t>_19 Junio/2015 Pago parcial No.1 $25,962,830</t>
  </si>
  <si>
    <t>Aeropuerto de Armenia</t>
  </si>
  <si>
    <t>MANTENIMIENTO DE LAS ZONAS DE SEGURIDAD PARALELAS A LA PISTA DE ATERRIZAJE (Z1,Z2,Z3,Z4) LIMPIEZA DE MALLA PERIMETRAL, , LIMPIEZA DE CANALES DE AGUAS LLUVIAS, RECOLECCIÓN Y RETIRO DE MATERIAL SOBRANTE DEL AEROPUERTO EL EDÉN AL SERVICIO DE LA CIUDAD DE ARMENIA – QUINDÍO</t>
  </si>
  <si>
    <t>_19 Junio/2015 Pago parcial No.1 $ 25,991,920</t>
  </si>
  <si>
    <t>MANTENIMIENTO DE LAS ZONAS DE SEGURIDAD Y LIMPIEZA DE CANALES, DEL AEROPUERTO EL EDÉN AL SERVICIO DE LA CIUDAD DE ARMENIA – QUINDÍO</t>
  </si>
  <si>
    <t>4 meses</t>
  </si>
  <si>
    <t xml:space="preserve">MANTENIMIENTO DE LAS ZONAS DE SEGURIDAD Y CANALES DEL AEROPUERTO GUILLERMO LEON VALENCIA AL SERVICIO DE LA CIUDAD DE POPAYÁN - CAUCA. </t>
  </si>
  <si>
    <t xml:space="preserve">4 Meses </t>
  </si>
  <si>
    <t>MANTENIMIENTO DE LAS ZONAS DE SEGURIDAD DE LAS ESTACIONES AERONÁUTICAS CALIPUERTO, ESTACIÓN TULUÁ Y ESTACIÓN ROZO. ZONA VERDE DEL NUEVO EDIFICIO DE LA SALA RADAR, ZONA VERDE MARCADOR MEDIO, ZONA VERDE DEL LOCALIZADOR Y ZONA VERDE DEL GLIDE AL SERVICIO DEL AEROPUERTO ALFONSO BONILLA ARAGÓN DE PALMIRA – VALLE</t>
  </si>
  <si>
    <t>May</t>
  </si>
  <si>
    <t>5 Meses</t>
  </si>
  <si>
    <t>24/09/2015 $ 9,626,840</t>
  </si>
  <si>
    <t>Aeropuerto de Pasto</t>
  </si>
  <si>
    <t>MANTENIMIENTO DE LAS ZONAS DE SEGURIDAD PARALELAS A LA PISTA DE ATERRIZAJE, CABECERAS 0.2 Y 2.0,  ZONA V.O.R, ZONA EXTERNA A LA MALLA PERIMETRAL, LIMPIEZA DE CANALES EN TIERRA DE AGUAS LLUVIAS DEL AEROPUERTO ANTONIO NARIÑO AL SERVICIO DE LA CIUDAD DE PASTO - NARIÑO</t>
  </si>
  <si>
    <t>_11 Junio/2015 Acta parcial No.1</t>
  </si>
  <si>
    <t>_11 Agosto/2015 Pago parcial No,1 $22,347,400</t>
  </si>
  <si>
    <t>Aeropuerto de Aldana (Ipiales)</t>
  </si>
  <si>
    <t>MANTENIMIENTO DE LAS ZONAS DE SEGURIDAD PARALELAS A LA PISTA DE ATERRIZAJE, CABECERAS 2.4 Y 0.6 ZONA V.O.R ZONA ANTENAS, ZONA DE PARQUEO, LIMPIEZA DE LOS CANALES DE AGUAS LLUVIAS PARALELOS A LA PISTA  Y LOS CANALES EXTERNOS  DEL AEROPUERTO SAN LUIS AL SERVICIO DE LA CIUDAD DE IPIALES</t>
  </si>
  <si>
    <t>_11 Agosto/2015 Pago parcial No,1 $22,109,349</t>
  </si>
  <si>
    <t>113608003000006</t>
  </si>
  <si>
    <t>CONTRATAR MANTENIMIENTO TERMINAL AEROPUERTO GERARDO TOVAR LÓPEZ DE LA CIUDAD DE BUENAVENTURA.</t>
  </si>
  <si>
    <t>CARLOS ROBERTO PULIDO</t>
  </si>
  <si>
    <t>INFRAESTRUCTURA</t>
  </si>
  <si>
    <t>45 Dias</t>
  </si>
  <si>
    <t>MANTENIMIENTO TERMINAL DEL AEROPUERTO EL EDÉN AL SERVICIO DE LA CIUDAD DE ARMENIA – QUINDÍO</t>
  </si>
  <si>
    <t>Sep</t>
  </si>
  <si>
    <t>30 Dias</t>
  </si>
  <si>
    <t>14/09/2015 $61,280,406</t>
  </si>
  <si>
    <t>113608003000007</t>
  </si>
  <si>
    <t>CONTRATAR MANTENIMIENTO CUARTEL DE BOMBEROS DEL AEROPUERTO GERARDO TOVAR LÓPEZ LA CIUDAD DE BUENAVENTURA.</t>
  </si>
  <si>
    <t>113608003000010</t>
  </si>
  <si>
    <t>MANTENIMIENTO SEÑALIZACION DE PISTAS</t>
  </si>
  <si>
    <t>MANTENIMIENTO DE LA SEÑALIZACIÓN DE LA PISTA (PLATAFORMA) DEL AEROPUERTO LA FLORIDA AL SERVICIO DEL MUNICIPIO DE TUMACO – NARIÑO</t>
  </si>
  <si>
    <t>113608003000011</t>
  </si>
  <si>
    <t>MEJORAMIENTO ZONAS DE SEGURIDAD Y CANALES.</t>
  </si>
  <si>
    <t>MEJORAMIENTO DE LOS CANALES DE AGUAS LLUVIAS PARALELOS A LA PISTA DE ATERRIZAJE DEL AEROPUERTO JUAN CASIANO SOLIS AL SERVICIO DEL MUNICIPIO DE GUAPI – CAUCA.</t>
  </si>
  <si>
    <t>Nov</t>
  </si>
  <si>
    <t>113608003000018</t>
  </si>
  <si>
    <t>CONTRATAR MANTENIMIENTO DE GARITAS DE VIGILANCIA Y OTRAS ESTRUCTURAS COMPLEMENTARIAS DEL AEROPUERTO LA FLORIDA  AL SERVICIO DEL MUNICIPIO DE TUMACO NARIÑO.</t>
  </si>
  <si>
    <t>CONTRATAR MANTENIMIENTO DE LAS GARITAS DE VIGILANCIA Y OTRAS ESTRUCTURAS COMPLEMENTARIAS DEL AEROPUERTO GUILLERMO LEÓN VALENCIA AL SERVICIO DE LA CUIDAD DE POPAYÁN CAUCA.</t>
  </si>
  <si>
    <t xml:space="preserve">CONTRATAR MANTENIMIENTO DE LA DE LA INFRAESTRUCTURA COMPLEMENTARIA DEL AEROPUERTO GERARDO TOVAR LÓPEZ AL SERVICIO DEL DISTRITO ESPECIAL DE BUENAVENTURA VALLE DEL CAUCA.  </t>
  </si>
  <si>
    <t>CONTRATAR MANTENIMIENTO DE GARITAS DE VIGILANCIA Y OTRAS ESTRUCTURAS COMPLEMENTARIAS DE AEROPUERTO  JUAN CASIANO SOLÍS AL SERVICIO DEL MUNICIPIO DE GUAPI CAUCA.</t>
  </si>
  <si>
    <t>113608119000001</t>
  </si>
  <si>
    <t xml:space="preserve">MEJORAMIENTO DEL SISTEMA DE TRATAMIENTO DE AGUA POTABLE DEL AEROPUERTO GERARDO TOVAR LOPEZ AL SERVICIO DEL MUNICIPIO DE BUENAVENTURA – VALLE DEL CAUCA  </t>
  </si>
  <si>
    <t>EL MANTENIMIENTO PREVENTIVO, CORRECTIVO Y OPERACIÓN DE LOS SISTEMAS DE TRATAMIENTO DE AGUA RESIDUAL Y POTABLE DEL AEROPUERTO EL EDÉN AL SERVICIO DE LA CIUDAD DE ARMENIA - QUINDÍO</t>
  </si>
  <si>
    <t>Mar</t>
  </si>
  <si>
    <t>4 Meses</t>
  </si>
  <si>
    <t>_27 Mayo/2015 Acta parcial No.1
_27 Julio/2015 Acta parcial No.2</t>
  </si>
  <si>
    <t>_19 Junio/2015 Pago parcial No.1 $12,796,888
_22 Septiembre/2015 Pago Parcial No.2 $26,823,376</t>
  </si>
  <si>
    <t>MANTENIMIENTO PREVENTIVO, CORRECTIVO Y OPERACIÓN DE LOS SISTEMAS DE TRATAMIENTO DE AGUA RESIDUAL, POTABLE Y SISTEMA SÉPTICO DEL AEROPUERTO ANTONIO NARIÑO AL SERVICIO DE LA CIUDAD DE PASTO NARIÑO</t>
  </si>
  <si>
    <t>_28 Mayo/2015 Acta parcial No.1
_28 Julio/2015 Acta parcial No.2</t>
  </si>
  <si>
    <t>_23 Junio/2015 Pago parcial No.1 $10,707,380
_22 Septiembre/2015 pago parcial No.2 $18,456,760</t>
  </si>
  <si>
    <t>113608119000002</t>
  </si>
  <si>
    <t>AEROPUERTO BUENAVENTURA, TUMACO Y GUAPI</t>
  </si>
  <si>
    <r>
      <t>MANTENIMIENTO DE LAS CASETAS DE ALMACENADO Y PRESENTACIÓN DE RESIDUOS SOLIDOS GENERADOS EN LOS AEROPUERTOS DE BUENAVENTURA, GUAPI Y TUMACO</t>
    </r>
    <r>
      <rPr>
        <sz val="9"/>
        <color theme="1"/>
        <rFont val="Arial"/>
        <family val="2"/>
      </rPr>
      <t xml:space="preserve">. </t>
    </r>
  </si>
  <si>
    <t>1 Mes</t>
  </si>
  <si>
    <t>113608119000005</t>
  </si>
  <si>
    <t>CONTROL GEOTÉCNICO - MANTENIMIENTO DE ZONAS VERDES INTERNAS Y EXTERNAS DEL AEROPUERTO LA FLORIDA AL SERVICIO DEL MUNICIPIO DE TUMACO NARIÑO</t>
  </si>
  <si>
    <t>Dic.</t>
  </si>
  <si>
    <t>CONTROL GEOTÉCNICO – MANTENIMIENTO DE LAS ZONAS VERDES Y JARDINES DEL AEROPUERTO GERARDO TOVAR LOPEZ DE BUENAVENTURA</t>
  </si>
  <si>
    <t>CONTROL GEOTÉCNICO - MANTENIMIENTO DE ZONAS VERDES Y JARDINES DEL AEROPUERTO EL EDÉN DE LA CIUDAD DE ARMENIA</t>
  </si>
  <si>
    <t>CONTROL GEOTÉCNICO – MANTENIMIENTO DE ZONAS VERDES Y JARDINES DEL AEROPUERTO SAN LUIS AL SERVICIO DE LA CIUDAD DE IPIALES NARIÑO</t>
  </si>
  <si>
    <r>
      <t>CONTROL GEOTÉCNICO - MANTENIMIENTO DE ZONAS VERDES INTERNAS Y EXTERNAS DEL AEROPUERTO GUILLERMO LEON VALENCIA AL SERVICIO DE LA CIUDAD DE POPAYÁN</t>
    </r>
    <r>
      <rPr>
        <b/>
        <u/>
        <sz val="9"/>
        <color theme="1"/>
        <rFont val="Arial"/>
        <family val="2"/>
      </rPr>
      <t>,</t>
    </r>
  </si>
  <si>
    <t>CONTROL GEOTÉCNICO - MANTENIMIENTO DE ZONAS VERDES Y JARDINES DEL AEROPUERTO JUAN CASIANO SOLIS AL SERVICIO DEL MUNICIPIO DE GUAPI</t>
  </si>
  <si>
    <t>CONTROL GEOTÉCNICO – PODA DE ARBOLES QUE OBSTACULIZAN LA OPERACIÓN AERONÁUTICA EN EL AEROPUERTO GERARDO TOVAR LOPEZ AL SERVICIO DEL DISTRITO ESPECIAL DE BUENAVENTURA VALLE DEL CAUCA</t>
  </si>
  <si>
    <t>EL CONTROL GEOTÉCNICO – PODA DE ARBOLES QUE OBSTACULIZAN LA OPERACIÓN AERONÁUTICA DEL AEROPUERTO JUAN CASIANO SOLIS AL SERVICIO DEL MUNICIPIO DE GUAPI CAUCA</t>
  </si>
  <si>
    <t>EL CONTROL GEOTÉCNICO – PODA DE ARBOLES QUE OBSTACULIZAN LA OPERACIÓN AERONÁUTICA DEL  AEROPUERTO GUILLERMO LEON VALENCIA AL SERVICIO DE LA CIUDAD POPAYAN – CAUCA</t>
  </si>
  <si>
    <t>1 mes</t>
  </si>
  <si>
    <t>113608119000009</t>
  </si>
  <si>
    <t>PROGRAMAS DE MEJORAMIENTO PARA LA PREVENCION DEL PELIGRO AVIARIO.</t>
  </si>
  <si>
    <r>
      <t xml:space="preserve"> </t>
    </r>
    <r>
      <rPr>
        <sz val="9"/>
        <color theme="1"/>
        <rFont val="Arial"/>
        <family val="2"/>
      </rPr>
      <t>PROGRAMA DE MEJORAMIENTO PARA LA PREVENCIÓN DEL PELIGRO AVIARIO DE LOS AEROPUERTOS GUILLERMO LEON VALENCIA AL SERVICIO DE LA CIUDAD DE POPAYÁN - CAUCA Y EL EDÉN AL SERVICIO DE LA CIUDAD DE ARMENIA – QUINDÍO</t>
    </r>
  </si>
  <si>
    <t xml:space="preserve">TERMINADO UNILATERALMENTE </t>
  </si>
  <si>
    <t>Aeropuerto Pasto
Aeropuerto Tumaco</t>
  </si>
  <si>
    <t>PROGRAMA DE MEJORAMIENTO PARA LA PREVENCION DEL PELIGRO AVIARIO DE LOS AEROPUERTOS LA FLORIDA AL SERVICIO DEL MUNICIPIO DE TUMACO Y ANTONIO NARIÑO AL SERVICIO DE LA CIUDAD DE PASTO – NARIÑO</t>
  </si>
  <si>
    <t>dic</t>
  </si>
  <si>
    <t>213608001000001</t>
  </si>
  <si>
    <t>LA ADQUISICION DE UPS PARA ATENDER LAS NECESIDADES EN MATERIA DE ENERGIA DE LAS ESTACIONES Y AEROPUERTOS DE LA REGIONAL VALLE</t>
  </si>
  <si>
    <t>213608003000003</t>
  </si>
  <si>
    <t>ADQUISICION AGENTES EXTINTORES PQS Y AFFF PARA MAQUINAS DE EXTINCION DE INCENDIOS.</t>
  </si>
  <si>
    <r>
      <t>LA ADQUISICIÓN DE AGENTES EXTINTORES PARA LA AERONÁUTICA CIVIL QUE CONFORMAN LA REGIONAL</t>
    </r>
    <r>
      <rPr>
        <u/>
        <sz val="9"/>
        <color theme="1"/>
        <rFont val="Arial"/>
        <family val="2"/>
      </rPr>
      <t xml:space="preserve"> VALLE</t>
    </r>
  </si>
  <si>
    <t>SANDRA PATRICIA BONILLA</t>
  </si>
  <si>
    <t>BOMBEROS</t>
  </si>
  <si>
    <t>29/09/2015 $ 21,476,240</t>
  </si>
  <si>
    <t>No se liquidan orden de compra</t>
  </si>
  <si>
    <t>213608003000004</t>
  </si>
  <si>
    <t>SERVICIO DE MANTENIMIENTO Y RECARGA DE EXTINTORES UBICADOS EN LOS AEROPUERTOS (PALMIRA, ARMENIA, PEREIRA, CARTAGO, BUENAVENTURA, POPAYÁN, GUAPI, TUMACO, IPIALES, PASTO TULUÁ) Y ESTACIONES DE LA U.A.E. DE AERONÁUTICA CIVIL – REGIONAL VALLE</t>
  </si>
  <si>
    <t>213608003000005</t>
  </si>
  <si>
    <t xml:space="preserve">EL SERVICIO DE MANTENIMIENTO PREVENTIVO Y CORRECTIVO DE VEHICULOS DE RESCATE  SEI-SAR REGIONAL VALLE. </t>
  </si>
  <si>
    <t>24/09/2015 $ 14,485,599</t>
  </si>
  <si>
    <t>213608007000003</t>
  </si>
  <si>
    <t>EL MANTENIMIENTO PREVENTIVO Y CORRECTIVO CON SUMINISTRO DE REPUESTOS PARA LOS SISTEMAS DE AIRE ACONDICIONADO DE LA REGIONAL VALLE</t>
  </si>
  <si>
    <t>6 Meses</t>
  </si>
  <si>
    <t>_29 Julio/2015 Acta parcial No,</t>
  </si>
  <si>
    <t>_11 Agosto/2015 Pago Parcial No.1 $25,417,920</t>
  </si>
  <si>
    <t>CONTRATAR EL MANTENIMIENTO PREVENTIVO Y CORRECTIVO CON SUMINISTROS DE REPUESTOS PARA LOS GRUPOS ELECTROGENOS DE LA REGIONAL VALLE Y SUBESTACIONES</t>
  </si>
  <si>
    <t>Armenia
Pasto
Buenaventura
Ipiales
popayan
Tumaco</t>
  </si>
  <si>
    <r>
      <t xml:space="preserve">CONTRATAR EL </t>
    </r>
    <r>
      <rPr>
        <sz val="9"/>
        <color rgb="FF000000"/>
        <rFont val="Arial"/>
        <family val="2"/>
      </rPr>
      <t>MANTENIMIENTO PREVENTIVO Y CORRECTIVO  MECANICO GENERAL CON SUMINISTRO DE REPUESTOS PARA LAS BANDAS TRANSPORTADORAS MONOPLANAR Y LINEAL ENTREGA DE EQUIPAJES DE LOS AEROPUERTOS DE ARMENIA, PASTO, BUENAVENTURA, IPIALES, POPAYAN Y TUMACO</t>
    </r>
  </si>
  <si>
    <t>8 Meses</t>
  </si>
  <si>
    <t>_15 Abril/2015 Acta parcial No.1</t>
  </si>
  <si>
    <t>_22 Mayo/2015 Pago parcial No.1 $45.455.064</t>
  </si>
  <si>
    <t>CONTRATAR EL MANTENIMIENTO PREVENTIVO Y CORRECTIVO DE EQUIPOS PARA LOS SISTEMAS AEROPORTUARIOS</t>
  </si>
  <si>
    <t>213608007000004</t>
  </si>
  <si>
    <t>LA ADQUISICION DE BOMBILLERIA ÁREAS PÚBLICAS DE ACUERDO A LAS NECESIDADES DE LOS AEROPUERTOS Y/O ESTACIONES DE LA REGIONAL VALLE</t>
  </si>
  <si>
    <t>17/09/2015 $ 49,798,473</t>
  </si>
  <si>
    <t>213608007000010</t>
  </si>
  <si>
    <t>LA ADQUISICION DE ELEMENTOS FUNGIBLES NECESARIOS PARA MANTENER EN OPTIMAS CONDICIONES DE OPERATIVIDAD LAS PISTAS DE LOS AEROPUERTOS DE LA REGIONAL VALLE</t>
  </si>
  <si>
    <t xml:space="preserve">1 Mes </t>
  </si>
  <si>
    <t>LA ADQUISICION DE ELEMENTOS FUNGIBLES, BATERIAS PARA LOS SISTEMAS ELECTRICOS Y ELECTRONICOS DE LA REGIONAL VALLE</t>
  </si>
  <si>
    <t>10/09/2015 $ 63,742,000</t>
  </si>
  <si>
    <t>213608010000001</t>
  </si>
  <si>
    <t>Estaciones Regional Valle</t>
  </si>
  <si>
    <t>EL MANTENIMIENTO Y RECUPERACION DEL SISTEMA ELECTRICO SISTEMA DE ANTENA RADAR MADROÑO.</t>
  </si>
  <si>
    <t>10/09/2015 $ 64,148,000</t>
  </si>
  <si>
    <r>
      <t>contratar</t>
    </r>
    <r>
      <rPr>
        <sz val="9"/>
        <color theme="1"/>
        <rFont val="Arial"/>
        <family val="2"/>
      </rPr>
      <t xml:space="preserve"> EL MANTENIMIENTO DEL SISTEMA DE  ANTENA RADAR DE APROXIMACION  TAR CALI</t>
    </r>
  </si>
  <si>
    <t>213608010000003</t>
  </si>
  <si>
    <t>EL MANTENIMIENTO DE LOS RADIOFAROS NDB DE GUAPI, ROZO Y REMOTO DEL RADIOFARO NDB EL PASO</t>
  </si>
  <si>
    <t>23/09/2015 $ 60,591,440</t>
  </si>
  <si>
    <t>Aeropuerto de Pereira</t>
  </si>
  <si>
    <t>LA ADQUISICION DE UNA GRABADORA DE DIECISEIS (16) CANALES, SERVER Y DISCOS DUROS PARA EL AEROPUERTO GUILLERMO LEON VALENCIA DE LA CIUDAD DE POPAYAN</t>
  </si>
  <si>
    <t>18/09/2015 $ 59,060,952</t>
  </si>
  <si>
    <t>EL MANTENIMIENTO, ACTUALIZACIÓN SISTEMA DE GESTIÓN ILS PASTO Y VOR-DME TUMACO</t>
  </si>
  <si>
    <t>213608010000004</t>
  </si>
  <si>
    <t>EL MANTENIMIENTO Y ADECUACIÓN DE LOS TRANSFORMADORES DE LA REGIONAL VALLE</t>
  </si>
  <si>
    <t>90 Dias</t>
  </si>
  <si>
    <t>contratar EL MANTENIMIENTO Y ADECUACION DE LAS TRANSFERENCIAS DE LOS GRUPOS ELECTROGENOS DE LA REGIONAL VALLE</t>
  </si>
  <si>
    <t>213608010000007</t>
  </si>
  <si>
    <t>LA ADQUISICION INSTALACION Y PUESTA EN SERVICIO DE REPUESTOS PARA LOS SISTEMAS DE TELECOMUNICACIONES, SISTEMA SATELITAL DE TUMACO.</t>
  </si>
  <si>
    <t>15 Dias</t>
  </si>
  <si>
    <t>11/08/2015 $ 64,171,200</t>
  </si>
  <si>
    <t>contratar LA ADQUISICION E INSTALACION DE REPUESTOS PARA LOS SISTEMAS DE TELECOMUNICACIONES MONITOREO REMOTO PARA LAS ESTACIONES AERONAUTICAS DE ROZO Y CAMPANARIO</t>
  </si>
  <si>
    <t>LA ADQUISICION DE REPUESTOS  PARA EL  MANTENIMIENTO DE LOS  SISTEMAS  DE TELECOMUNICACIONES  DE LA REGIONAL VALLE</t>
  </si>
  <si>
    <t>LA ADQUISICIÓN DE REPUESTOS PARA LOS SISTEMAS DE TELECOMUNICACIONES SENSORES DE VIENTO, TEMPERATURA Y HUMEDAD</t>
  </si>
  <si>
    <t>LA ADQUISICION DE DIADEMAS Y ACCESORIOS PARA LOS SISTEMAS DE TELECOMUNICACIONES VCSS DE LA REGIONAL VALLE</t>
  </si>
  <si>
    <t>18/09/2015 $ 63,220,000</t>
  </si>
  <si>
    <t>CONTRATAR LA ADQUISICIÓN DE REPUESTOS PARA LOS SISTEMAS DE TELECOMUNICACIONES LABORATORIO TÉCNICO</t>
  </si>
  <si>
    <t>213608010000010</t>
  </si>
  <si>
    <t>EL MANTENIMIENTO, ACTUALIZACION DE LOS SISTEMAS DE METEOROLOGIA, SUMINISTRO CON INSTALACION DE SISTEMA DE INDICADOR DE VIENTO ILUMINADO CON LED, SISTEMA DE ENERGIA SOLAR EN EL AEROPUERTO DE BUENAVENTURA</t>
  </si>
  <si>
    <t xml:space="preserve">24/09/2015  $64,125,264 </t>
  </si>
  <si>
    <t>21360801000000512</t>
  </si>
  <si>
    <t>COMO PLAN DE CONTINGENCIA PARA EL SEGUNDO TRIMESTRE DEL AÑO 2015 POR POSIBLES ATENTADOS TERRORISTAS, EL SUMINISTRO DE VALES PARA EL ABASTECIMIENTO DE COMBUSTIBLE PARA LAS ESTACIONES Y/O AEROPUERTOS DE LA REGIONAL VALLE. ESPECIALMENTE PARA LOS MUNICIPIOS COSTEROS.</t>
  </si>
  <si>
    <t>23/09/2015 $64,177,000</t>
  </si>
  <si>
    <t>213608012000003</t>
  </si>
  <si>
    <t>CONTRATAR LA ADQUISICION E INSTALACION DE LOS SISTEMAS DE ENERGIA Y COMPLEMENTARIOS, SISTEMAS DE MANIOBRA Y PROTECCIÓN EN MEDIA TENSIÓN CORRESPONDIENTE A SECCIONADORES TIPO FS6, PARA EL AEROPUERTO ALFONSO BONILLA ARAGÓN, SUBESTACIÓN EXTERNA DEL AEROPUERTO DE CALI</t>
  </si>
  <si>
    <t>LA ADQUISICION DE AIRES ACONDICIONADOS PARA LAS ESTACIONES Y AEROPUERTO DE LA REGIONAL VALLE</t>
  </si>
  <si>
    <t xml:space="preserve">_01 Julio/2015 Acta parcial No,1 </t>
  </si>
  <si>
    <t>_13 Agosto/2015 Acta parcial No,1 $ 52.118.800</t>
  </si>
  <si>
    <t>LA ADQUISICION DE AIRES ACONDICIONADOS PARA LAS ESTACIONES Y AEROPUERTOS DE LA REGIONAL VALLE VOR/DME</t>
  </si>
  <si>
    <t>213608034000003</t>
  </si>
  <si>
    <t>Aeropuerto BUENAVENTURA 
CARTAGO</t>
  </si>
  <si>
    <t>CONTRATAR LOS SERVICIOS DE ASISTENCIA TÉCNICA PARA GARANTIZAR UNA ADECUADA OPERACIÓN DE LOS DIFERENTES EQUIPOS AERONÁUTICOS INSTALADOS EN LOS AEROPUERTOS DE BUENAVENTURA Y CARTAGO TENIENDO EN CUENTA SU COMPLEJIDAD OPERACIONAL</t>
  </si>
  <si>
    <t xml:space="preserve">Estacion el PASO
Estacion MADROÑO
</t>
  </si>
  <si>
    <t>CONTRATAR LOS SERVICIOS DE ASISTENCIA TÉCNICA PARA GARANTIZAR UNA ADECUADA OPERACIÓN DE LOS DIFERENTES EQUIPOS AERONAUTICOS INSTALADOS EN LAS ESTACIONES AERONÁUTICAS DE EL PASO Y MADROÑO TENIENDO EN CUENTA SU COMPLEJIDAD DE UBICACIÓN GEOGRÁFICA</t>
  </si>
  <si>
    <t>Estacion MERCADERES
Estacion ROZO</t>
  </si>
  <si>
    <t>CONTRATAR LOS SERVICIOS DE ASISTENCIA TÉCNICA PARA GARANTIZAR UNA ADECUADA OPERACIÓN DE LOS DIFERENTES EQUIPOS AERONÁUTICOS INSTALADOS EN LAS ESTACIÓNES AERONÁUTICAS CON SISTEMAS DE RADIOAYUDAS VOR/DME Y NDB MERCADERES Y ROZO</t>
  </si>
  <si>
    <t>213608007000002</t>
  </si>
  <si>
    <t>contratar  EL MANTENIMIENTO PREVENTIVO Y CORRECTIVO DEL ASCENSOR DE LA TORRE DE CONTROL DEL AEROPUERTO DE CALI</t>
  </si>
  <si>
    <t>213608007000009</t>
  </si>
  <si>
    <t>LA ADQUISICIÓN DE HERRAMIENTAS Y ELEMENTOS FUNGIBLES NECESARIOS PARA ATENDER DE MANERA ÁGIL Y OPORTUNA LAS ACTIVIDADES DE MANTENIMIENTO DE LOS SISTEMAS ELÉCTRICOS</t>
  </si>
  <si>
    <t>LA ADQUISICIÓN DE HERRAMIENTAS, ELEMENTOS Y MATERIALES PARA EL MANTENIMIENTO MECÁNICO DE LOS SISTEMAS DE LA REGIONAL VALLE</t>
  </si>
  <si>
    <t>18/09/2015 $63,846,119</t>
  </si>
  <si>
    <t>LA ADQUISICION DE ELEMENTOS FUNGIBLES, MULTIMETRO PARA LOS SISTEMAS ELECTRICOS Y ELECTRONICOS DE LA REGIONAL VALLE</t>
  </si>
  <si>
    <t>320608001000004</t>
  </si>
  <si>
    <t>EL SERVICIO DE EVENTO DEPORTIVO CON DOTACIÓN MEDIANTE LA REALIZACIÓN DE PRACTICAS DEPORTIVAS Y PASADIAS PARA LOS FUNCIONARIOS Y SU GRUPO FAMILIAR QUE LABORA EN EL AEROPUERTO ALFONSO BONILLA ARAGON DE LA CIUDAD PALMIRA</t>
  </si>
  <si>
    <t>VIANNY GOMEZ</t>
  </si>
  <si>
    <t>BIENESTAR SOCIAL</t>
  </si>
  <si>
    <t>_30 Abril/2015 Acta parcial No.1 
_30 Junio/2015 Acta parcial No.2</t>
  </si>
  <si>
    <t>_14 Mayo/2015 Pago parcial No.1 $2,285,200
_8 Julio/2015 pago parcial No.2 $9,019,000</t>
  </si>
  <si>
    <t>320608001000005</t>
  </si>
  <si>
    <r>
      <t>SERVICIO PARA LA REALIZACION DE VACACIONES RECREATIVAS MEDIANTE ACTIVIDADES LUDICO-RECREATIVAS PARA LOS HIJOS DE LOS FUNCIONARIOS DEL AEROPUERTO ALFONSO BONILLA ARAGON DE LA CIUDAD DE PALMIRA</t>
    </r>
    <r>
      <rPr>
        <sz val="9"/>
        <color rgb="FF000000"/>
        <rFont val="Arial"/>
        <family val="2"/>
      </rPr>
      <t>.</t>
    </r>
  </si>
  <si>
    <t>_13 Julio/2015 acta parcial No.1</t>
  </si>
  <si>
    <t>_27 Julio/2015 pago parcial No.1 $17,246,430</t>
  </si>
  <si>
    <t>320608001000007</t>
  </si>
  <si>
    <r>
      <t>SERVICIO DE UN PROGRAMA PARA FUNCIONARIOS PREPENSIONADOS DE LOS AEROPUERTOS ADSCRITOS EN LA DIRECCIÓN AERONAUTICA REGIONAL VALLE, MEDIANTE LA REALIZACION DE ACTIVIDADES DIRIGIDAS DE PREPARACION AL FUTURO PENSIONADO DE LA ENTIDAD</t>
    </r>
    <r>
      <rPr>
        <b/>
        <sz val="9"/>
        <rFont val="Arial"/>
        <family val="2"/>
      </rPr>
      <t>​​</t>
    </r>
  </si>
  <si>
    <t>16/06/2015 $ 14,550,000</t>
  </si>
  <si>
    <t>320608001000008</t>
  </si>
  <si>
    <t>CONTRATAR LA PRESTACIÓN DE SERVICIOS MÉDICOS INTEGRALES PARA DAR APOYO AL PROGRAMA DE SALUD OCUPACIONAL EN LA AERONÁUTICA CIVIL REGIONAL VALLE Y SUS AEROPUERTOS QUE LA CONFORMAN.</t>
  </si>
  <si>
    <t>SALUD OCUPACIONAL</t>
  </si>
  <si>
    <t>320608001000009</t>
  </si>
  <si>
    <t>ADQUSICION DE PROGRAMAS DE INTERVENCION DE LAS CAMPAﾑAS  EPIDEMIOLOGICAS</t>
  </si>
  <si>
    <t>EL PROGRAMA DE VIGILANCIA EPIDEMIOLÓGICA PARA LA PREVENCIÓN DE LOS EFECTOS ASOCIADOS AL FACTOR DE RIESGO PSICOSOCIAL EN LOS FUNCIONARIOS DE LA AERONÁUTICA CIVIL – REGIONAL VALLE Y SUS AEROPUERTOS QUE LA CONFORMAN</t>
  </si>
  <si>
    <t>_ 6 Agosto/2015 Acta Parcial No.1</t>
  </si>
  <si>
    <t>_20 Agosto/2015 Pago parcial No.1 $10,760,000</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</si>
  <si>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MATECAÑA Y LA CIUDAD DE PEREIRA</t>
  </si>
  <si>
    <t>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</si>
  <si>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320608001000010</t>
  </si>
  <si>
    <r>
      <t>contratar</t>
    </r>
    <r>
      <rPr>
        <sz val="9"/>
        <color theme="1"/>
        <rFont val="Arial"/>
        <family val="2"/>
      </rPr>
      <t xml:space="preserve"> EL SERVICIO (PROGRAMA ESTILO DE VIDA SALUDABLE. “GIMNASIA LABORAL Y ACOMPAÑAMIENTO ACONDICIONAMIENTO FÍSICO”). PARA FUNCIONARIOS- REGIONAL VALLE,</t>
    </r>
  </si>
  <si>
    <t>_10 Agosto/2015 Acta parcial No.1</t>
  </si>
  <si>
    <t>_26 Agosto/2015 Pago Parcial No.1 $ 5,990,400</t>
  </si>
  <si>
    <t>510608017000003</t>
  </si>
  <si>
    <t>CERTIFICACION AEROMEDICA ESPECIAL DEL PERSONAL AERONAUTICO: CONTROLADORES DE TRANSITO AEREO, BOMBEROS AERONAUTICOS Y OPERADORES DE ESTACIONES</t>
  </si>
  <si>
    <t>Aeropuerto Palmira
Aeropuerto Buenaventura
Aeropuerto popayan
Aeropuerto Guapi 
Aeropuerto de Tumaco
Aeropuerto Pasto
Aeropuerto Ipiales</t>
  </si>
  <si>
    <t>CONTRATAR LA REALIZACION DE EXAMENES ESPECIALES PARA CERTIFICAR EL OPTIMO ESTADO PSICOFISICO DEL PERSONAL TECNICO AERONAUTICO: CONTROLADOR DE TRANSITO AEREO, BOMBEROS AERONAUTICOS Y OPERADORES DE ESTACION AERONAUTICA (AIS/COM) QUE PRESTA SUS SERVICIOS EN LOS AEROPUERTOS DE CALI, BUENAVENTURA, POPAYAN, GUAPI, TUMACO, PASTO, IPIALES ADSCRITOS A ALA REGIONAL VALLE, BAJO CONDICIONES DE SEGURIDAD Y EFICIENCIA, COMFORME A LAS POLITICAS, PLANES Y PROGRAMAS GUBERNAMENTALES EN MATERIA DE SEGURIDAD AEREA, FACTOR HUMANO Y NORMAS INTERNACIONALES.</t>
  </si>
  <si>
    <t>GRACIELA GOMEZ</t>
  </si>
  <si>
    <t>ADMINISTRATIVA</t>
  </si>
  <si>
    <t>20/05/2015 $36,837,000</t>
  </si>
  <si>
    <t>Aeropuerto Pereira
Aeropuerto Armenia
Aeropuerto Cartago</t>
  </si>
  <si>
    <t>CONTRATAR LA REALIZACION DE EXAMENES ESPECIALES, PARA CERTIFICAR EL OPTIMO ESTADO PSICOFISICO DEL PERSONAL TECNICO AERONAUTICO: CONTROLADOR DE TRANSITO AEREO, BOMBEROS AERONAUTICOS Y OPERADORES DE ESTACION AERONAUTICA (AIS/COM) QUE PRESTAN SUS SERVICIOS EN LOS AEROPUERTOS DE PEREIRA, ARMENIA Y CARTAGO ADSCRITOS A LA REGIONAL VALLE, BAJO CONDICIONES DE SEGURIDAD Y EFICIENCIA, CONFORME A LAS POLITICAS, PLANES Y PROGRAMAS GUBERNAMENTALES EN MATERIA DE SEGURIDAD AEREA, FACTOR HUMANO Y NORMAS INTERNACIONALES</t>
  </si>
  <si>
    <t>14 de julio de 2015</t>
  </si>
  <si>
    <t>14 de Julio de 2015 $ 35,883,000</t>
  </si>
  <si>
    <t>11360811900000601</t>
  </si>
  <si>
    <r>
      <t>SUMINISTRO DE INSUMOS PARA EL FUNCIONAMIENTO DE LA INFRAESTRUCTURA AMBIENTAL DE LOS AEROPUERTOS DE LA REGIONAL VALLE</t>
    </r>
    <r>
      <rPr>
        <b/>
        <u/>
        <sz val="9"/>
        <color theme="1"/>
        <rFont val="Arial"/>
        <family val="2"/>
      </rPr>
      <t xml:space="preserve">, </t>
    </r>
  </si>
  <si>
    <t>21360800300000611</t>
  </si>
  <si>
    <t>CONTRATAR LA ADQUISICIÓN DE VALES O TARJETAS ELECTRÓNICAS PARA EL SUMINISTRO DE COMBUSTIBLE Y LUBRICANTES EN BOMBAS O ESTACIONES DE SERVICIO, PARA USO MAQUINA EXTINTORAS Y VEHÍCULOS AL SERVICIO DEL GRUPO SEI SAR DE LA AERONÁUTICA CIVIL- REGIONAL VALLE, UBICADOS EN LOS AEROPUERTOS DE PASTO, IPIALES, TUMACO, POPAYÁN, PALMIRA Y BUENAVENTURA</t>
  </si>
  <si>
    <r>
      <t>contratar</t>
    </r>
    <r>
      <rPr>
        <sz val="9"/>
        <color theme="1"/>
        <rFont val="Arial"/>
        <family val="2"/>
      </rPr>
      <t xml:space="preserve"> EL SERVICIO DE SUMINISTRO DE COMBUSTIBLE Y LUBRICANTES EN ESTACIÓN DE SERVICIOS PARA USO MAQUINAS EXTINTORAS Y VEHÍCULOS AL SERVICIO DEL GRUPO SEI DE LA AERONÁUTICA CIVIL – REGIONAL VALLE, UBICADOS EN EL AEROPUERTO EL EDÉN DE LA CIUDAD DE ARMENIA</t>
    </r>
  </si>
  <si>
    <t>21360800700000611</t>
  </si>
  <si>
    <t>LA ADQUISICION DE MATERIALES E INSUMOS AEROPORTUARIOS ACEITES, FILTROS, GRASAS, LIQUIDO REFRIGERANTE, LIQUIDO PARA BATERIAS</t>
  </si>
  <si>
    <t>23/09/2015 $15,697,526</t>
  </si>
  <si>
    <t>EL SUMINISTRO DE VALES PARA EL ABASTECIMIENTO DE COMBUSTIBLE PARA LOS VEHICULOS ASIGNADOS AL GRUPO DE SOPORTE TECNICO DE LA REGIONAL VALLE PARA EL CUMPLIMIENTO DE LAS FUNCIONES PROPIAS DE LA ENTIDAD PARA LA VIGENCIA 2015</t>
  </si>
  <si>
    <t>25/05/2015 $64,177,036</t>
  </si>
  <si>
    <t xml:space="preserve">COMO PLAN DE CONTINGENCIA PARA EL SEGUNDO TRIMESTRE DEL AÑO 2015 POR POSIBLES ATENTADOS TERRORISTAS, EL TRANSPORTE Y PUESTA EN SITIO DE COMBUSTIBLE PARA LAS ESTACIONES Y/O AEROPUERTOS DE LA REGIONAL VALLE ESPECIALMENTE PARA LOS MUNICIPIOS COSTEROS. Y EL TRANSPORTE DE PERSONAL A LAS ESTACIONES Y AEROPUERTOS DE LA REGIONAL ESPECIALMENTE  AL PARQUE NATURAL MUNICHIQUE. </t>
  </si>
  <si>
    <t>LA ADQUISICIÓN DE COMBUSTIBLE TIPO DIESEL (ACPM) PUESTO EN SITIO PARA LOS GRUPOS ELECTROGENOS DE LAS ESTACIONES Y AEROPUERTO DE LA REGIONAL VALLE. ZONA CENTRO, ZONA NORTE Y ZONA SUR.</t>
  </si>
  <si>
    <t xml:space="preserve"> _13 Julio/2015 Acta parcial No.1</t>
  </si>
  <si>
    <t>_29 Julio /2015 Pago parcial No.1 $29,337,700</t>
  </si>
  <si>
    <t>EL SERVICIO DE LOGISTICA Y GASTOS DE TRANSPORTE DE EQUIPOS, REPUESTOS, ACCESORIOS Y PERSONAL NECESARIO PARA REALIZAR LABORES DE MANTENIMIENTO, INSTALACIÓN DE SISTEMAS DE TELECOMUNICACIONES VIA TERRESTRE A LA ESTACIÓN RADAR SANTANA Y/O ESTACIONES Y/O AEROPUERTOS DE LA REGIONAL VALLE</t>
  </si>
  <si>
    <t>Feb</t>
  </si>
  <si>
    <t xml:space="preserve">_1 Julio/2015 Acta parcial No.1
_10 Agosto/2015 Acta final </t>
  </si>
  <si>
    <t>_9 Sept/2015 pago parcial No.1 $46,081,680
_28 Agosto/2015 Pago final $ 18,022,320</t>
  </si>
  <si>
    <t>LA ADQUISICIÓN DE COMBUSTIBLE TIPO DIESEL (ACPM) PUESTO EN SITIO PARA LOS GRUPOS ELECTROGENOS INSTALADOS EN LA ESTACIÓN RADAR SANTANA</t>
  </si>
  <si>
    <t>_5 Mayo/2015 Acta parcial No.1
_13 Julio/2015 Acta final</t>
  </si>
  <si>
    <t>_22 Mayo/2015 Pago parcial No.1 $ 46,200,000
_16 Julio/2015 pago final $16,500,000</t>
  </si>
  <si>
    <t>CONTRATAR EL SERVICIO DE LOGISTICA Y TRANSPORTE VIA AEREA PARA FUNCIONARIOS, EQUIPOS, REPUESTOS, ACCESORIOS, PERSONAL NECESARIO PARA REALIZAR LAS LABORES DE MANTENIMIENTO, SUPERVISION, INSPECCION E INSTALACION DE LOS EQUIPOS Y SISTEMAS DE TELECOMUNICACIONES ESTACION RADAR SANTANA</t>
  </si>
  <si>
    <t>_21 Julio/2015 Acta parcial No:1</t>
  </si>
  <si>
    <t>_11 Agosto/2015 Pago Parcial No.1 $20,132,766</t>
  </si>
  <si>
    <t>21360801000000511</t>
  </si>
  <si>
    <t>EL MANTENIMIENTO PREVENTIVO Y CORRECTIVO CON SUMINISTRO DE REPUESTOS  PARA LOS VEHÍCULOS ASIGNADOS AL GRUPO DE SOPORTE TÉCNICO DE LA REGIONAL VALLE;</t>
  </si>
  <si>
    <t>CONTRATAR LA ADQUISICION DE COMBUSTIBLE TIPO DIESEL (ACPM) PUESTO EN SITIO PARA LOS GRUPOS ELECTROGENOS DEL AEROPUERTO DE GUAPI</t>
  </si>
  <si>
    <t>_15 Mayo/2015 Acta parcial No.1
_13 Julio/2015 Acta final</t>
  </si>
  <si>
    <t>_22 Mayo/2015 Pago parcial No.1 $20,250,000
_16 Julio/2015 pago final $13,500,000</t>
  </si>
  <si>
    <t>21360803100000501</t>
  </si>
  <si>
    <t>ADQUISICIÓN DE INSUMOS Y ELEMENTOS DE BIOSEGURIDAD, IMPRESIÓN FORMATOS, EQUIPOS REQUERIDOS EN EL SERVICIO DE SANIDAD AEROPORTUARIA UBICADOS EN LA REGIONAL</t>
  </si>
  <si>
    <t>GRACIELA HURTADO</t>
  </si>
  <si>
    <t>SANIDAD</t>
  </si>
  <si>
    <t>32060800100000101</t>
  </si>
  <si>
    <t>ADQUISICIÓN DE ELEMENTOS DE PROTECCIÓN PERSONAL PARA CONTROL Y MINIMIZACIÓN DE RIESGOS LABORALES EN FUNCIONARIOS DE LA AERONAUTICA CIVIL</t>
  </si>
  <si>
    <t>32060800100000102</t>
  </si>
  <si>
    <t>LA ADQUISICIÓN DE EQUIPOS Y ELEMENTOS DE GIMNASIO PARA LA AERONÁUTICA CIVIL- AEROPUERTO MATECAÑA, UBICADO EN LA CIUDAD DE PEREIRA</t>
  </si>
  <si>
    <t>14/09/2015 $ 11,996,862</t>
  </si>
  <si>
    <t>32060800100000103</t>
  </si>
  <si>
    <t>EL MANTENIMIENTO PREVENTIVO Y CORRECTIVO DE EQUIPOS DE GIMNASIO EN LOS AEROPUERTOS DE LA REGIONAL VALLE</t>
  </si>
  <si>
    <t>ADQUISICIÓN DE EQUIPOS DE GIMNASIO BIOSALUDABLES PARA LA AERONÁUTICA CIVIL- AEROPUERTO JUAN CASIANO SOLÍS DEL MUNICIPIO DE GUAPI</t>
  </si>
  <si>
    <t>32060800100000104</t>
  </si>
  <si>
    <t>contratar LA ADQUISICION DE ELEMENTOS DE CONFORT PARA LOS FUNCIONARIOS DE LOS AEROPUERTOS ADSCRITOS A LA REGIONAL VALLE</t>
  </si>
  <si>
    <t>20 Dias</t>
  </si>
  <si>
    <t>23/09/2015 $ 3,704,025</t>
  </si>
  <si>
    <t>CONTRATAR LA ADQUISICIÓN Y ELEMENTOS DE GIMNASIO PARA LA AERONAUTICA CIVIL AEROPUERTO ALFONSO BONILLA ARAGON UBICADO EN LA CIUDAD DE PALMIRA</t>
  </si>
  <si>
    <t xml:space="preserve">20 Dias </t>
  </si>
  <si>
    <t>32060800100000201</t>
  </si>
  <si>
    <r>
      <t>LA ADQUISICIÓN DE BOTIQUINES Y MEDICAMENTOS PARA LA REGIONAL VALLE</t>
    </r>
    <r>
      <rPr>
        <b/>
        <u/>
        <sz val="9"/>
        <color theme="1"/>
        <rFont val="Tahoma"/>
        <family val="2"/>
      </rPr>
      <t>.</t>
    </r>
  </si>
  <si>
    <t>10/09/2015 $ 3,982,006</t>
  </si>
  <si>
    <t>32060800100000202</t>
  </si>
  <si>
    <t>ADQUISICIÓN DE DOTACIÓN, EQUIPOS Y ELEMENTOS PARA ENTRENAMIENTO Y RESPUESTA PRIMEROS AUXILIOS BRIGADAS DE EMERGENCIA UBICADAS EN LOS AEROPUERTOS DE LA REGIONAL VALLE</t>
  </si>
  <si>
    <t>26/08/2015 $ 3,828,520</t>
  </si>
  <si>
    <t>51060800200002701</t>
  </si>
  <si>
    <t>Aeropuerto Palmira 
Aeropuerto Armenia 
Aeropuerto Pereira</t>
  </si>
  <si>
    <t>LA CAPACITACION EN EL IDIOMA INGLES PARA FUNCIONARIOS  DE AERONAUTICA CIVIL: CONTROLADORES DE TRANSITO AEREO, ATENCION AL USUARIO, FACTURACION, SOPORTE- ATSEP, INSPECTORES DE CONTROL Y SEGURIDAD AEREA, AIS/COM Y BOMBEROS AERONAUTICOS QUE LABORAN EN LOS AEROPUERTOS DE PALMIRA, PEREIRA Y ARMENIA</t>
  </si>
  <si>
    <t>18-septiembre de 2015</t>
  </si>
  <si>
    <t>29-septiembre de 2015 $ 30,000,000</t>
  </si>
  <si>
    <t>MANTENIMIENTO CUARTEL DE BOMBEROS DEL AEROPUERTO JUAN CASIANO SOLÍS DE GUAPI.</t>
  </si>
  <si>
    <t>113608119000003</t>
  </si>
  <si>
    <t>MANTENIMIENTO DE INSTALACIONES HIDRAULICAS BAÑOS DEL EDIFICIO NUEVO CENTRO DE CONTROL Y BAÑOS DE LAS INSTALACIONES ADMINISTRATIVAS</t>
  </si>
  <si>
    <t>25/09/2015 $4,200,000</t>
  </si>
  <si>
    <t>PROGRAMA DE MEJORAMIENTO PARA LA PREVENCION DEL PELIGRO AVIARIO EN LOS AEROPUERTOS DE LA REGIONAL VALLE</t>
  </si>
  <si>
    <t>213608002000002
213608002000009</t>
  </si>
  <si>
    <t>LA ADQUISICIÓN DE EQUIPOS DE RESCATE Y ELEMENTOS PARA LA REALIZACION DE SIMULACROS GRUPO SEI SAR REGIONAL VALLE</t>
  </si>
  <si>
    <t>29/09/2015 $ 56,521,545</t>
  </si>
  <si>
    <t>113608003000001
113608003000003
113608003000006</t>
  </si>
  <si>
    <t>Aeropuerto Tumaco 
Aeropuerto Buenaventura</t>
  </si>
  <si>
    <t>MANTENIMIENTO TERMINAL Y DEL CERRAMIENTO DEL AEROPUERTO LA FLORIDA Y MANTENIMIENTO PISTA AEROPUERTO GERARDO TOVAR LÓPEZ UBICADOS EN LA REGIONAL VALLE</t>
  </si>
  <si>
    <t>EN PROCESO DE ADJUDICACION</t>
  </si>
  <si>
    <t>113608003000001
113608003000005
113608003000007</t>
  </si>
  <si>
    <t>MANTENIMIENTO DE LA TORRE DE CONTROL, CUARTEL DE BOMBEROS Y EL CERRAMIENTO DEL AEROPUERTO LA FLORIDA AL SERVICIO DEL MUNICIPIO DE TUMACO NARIÑO.</t>
  </si>
  <si>
    <t>113608003000005
113608003000006</t>
  </si>
  <si>
    <t>CONTRATAR MANTENIMIENTO TORRE DE CONTROL Y MANTENIMIENTO GENERAL TERMINAL DEL AEROPUERTO JUAN CASIANO SOLIS DEL MUNICIPIO DE GUAPI</t>
  </si>
  <si>
    <t>113608003000005
113608003000007</t>
  </si>
  <si>
    <t>CONTRATAR MANTENIMIENTO SISTEMA CONTROL SOLAR EN LA TORRE DE CONTROL DEL AEROPUERTO SAN LUIS DE IPIALES Y TORRE DE CONTROL DEL ALFONSO BONILLA ARAGON DE PALMIRA.</t>
  </si>
  <si>
    <t>CONTRATAR MANTENIMIENTO SISTEMA CONTROL SOLAR DE LAS TORRES DE CONTROL DE LOS AEROPUERTO TUMACO, GUAPI Y CUARTEL DE BOMBEROS DEL AEROPUERTO  ALFONSO BONILLA ARAGON DE PALMIRA</t>
  </si>
  <si>
    <t xml:space="preserve">113608003000006
</t>
  </si>
  <si>
    <t>MANTENIMIENTO TERMINAL DEL AEROPUERTO LA FLORIDA AL SERVICIO DE TUMACO NARIÑO.</t>
  </si>
  <si>
    <t>113608003000006
113608003000003</t>
  </si>
  <si>
    <r>
      <rPr>
        <sz val="9"/>
        <color theme="1"/>
        <rFont val="Times New Roman"/>
        <family val="1"/>
      </rPr>
      <t xml:space="preserve"> </t>
    </r>
    <r>
      <rPr>
        <sz val="9"/>
        <color theme="1"/>
        <rFont val="Arial"/>
        <family val="2"/>
      </rPr>
      <t xml:space="preserve">MANTENIMIENTO DE TERMINAL Y PISTA DEL AEROPUERTO ANTONIO NARIÑO AL SERVICIO DE LA CIUDAD DE PASTO NARIÑO. </t>
    </r>
  </si>
  <si>
    <t>113608003000006
113608003000007</t>
  </si>
  <si>
    <t>CONTRATAR MANTENIMIENTO  TERMINAL Y MANTENIMIENTO CUARTEL DE BOMBEROS DEL AEROPUERTO EL EDÉN DE LA CUIDAD DE ARMENIA.</t>
  </si>
  <si>
    <t>113608003000006
113608003000007
113608003000005</t>
  </si>
  <si>
    <t>MANTENIMIENTO TERMINAL, CUARTEL DE BOMBEROS Y TORRE DE CONTROL DEL AEROPUERTO GUILLERMO LEON VALENCIA DE POPAYAN.</t>
  </si>
  <si>
    <t>113608119000001
113608119000003</t>
  </si>
  <si>
    <t>EL MANTENIMIENTO PREVENTIVO, CORRECTIVO Y OPERACIÓN DE LOS SISTEMAS DE TRATAMIENTO DE AGUA POTABLE, SISTEMAS SEPTICO Y RED DE ALCANTARILLADO DEL AEROPUERTO JUAN CASIANO SOLIS AL SERVICIO DEL MUNICIPIO DE GUAPI CAUCA.</t>
  </si>
  <si>
    <t>_23 Junio/2015 Pago parcial No.1 $ 10,787,768
_22 Septiembre/2015 pago parcial No.2 $ 22,530,796</t>
  </si>
  <si>
    <t>EL MANTENIMIENTO PREVENTIVO, CORRECTIVO Y OPERACIÓN DE LOS SISTEMAS DE TRATAMIENTO DE AGUA RESIDUAL, POTABLE Y SISTEMA SÉPTICO DEL AEROPUERTO GERARDO TOVAR LOPEZ AL SERVICIO DEL DISTRITO DE BUENAVENTURA VALLE DEL CAUCA</t>
  </si>
  <si>
    <t>_27 Mayo/2015 Acta parcial No.1
_27 Junio/2015 Acta parcial No.2</t>
  </si>
  <si>
    <t>_19 Junio/2015 Pago parcial No.1 $10.980.908
_22 Septiembre/2015 Pago Parcial No.2 $21,863,416</t>
  </si>
  <si>
    <t xml:space="preserve">MANTENIMIENTO PREVENTIVO, CORRECTIVO Y OPERACIÓN DE LOS SISTEMAS DE TRATAMIENTO DE AGUA RESIDUAL, POTABLE Y SISTEMA SÉPTICO DEL AEROPUERTO LA FLORIDA AL SERVICIO DEL MUNICIPIO DE TUMACO – NARIÑO; </t>
  </si>
  <si>
    <t>_4 Junio/2015 Acta parcial No.1
_28 Julio/2015 Acta parcial No.2</t>
  </si>
  <si>
    <t>_23 Junio/2015 Pago parcial No.1 $10,623,628
_22 Septiembre/2015 pago parcial No.2 $21,734,456</t>
  </si>
  <si>
    <t>MANTENIMIENTO PREVENTIVO, CORRECTIVO Y OPERACIÓN DE LOS SISTEMAS DE TRATAMIENTO DE AGUA RESIDUAL, POTABLE Y SISTEMA SÉPTICO DEL AEROPUERTO SAN LUIS AL SERVICIO DE LA CIUDAD DE IPIALES NARIÑO</t>
  </si>
  <si>
    <t>21360803100000502
21360803100000501</t>
  </si>
  <si>
    <r>
      <t>SERVICIO INTEGRAL EN SALUD: MANTENIMIENTO DE EQUIPOS MEDICOS VITALES Y ACTUALIZACION HOJAS DE VIDA, SERVICIOS DE ASPERCION Y DESINFECCION DE AREAS Y DE AMBULANCIAS, RECARGA DE BALAS DE OXIGENO MEDICINAL, RECOLECCION DE RESIDUOS HOSPITALARIOS</t>
    </r>
    <r>
      <rPr>
        <sz val="9"/>
        <color rgb="FF000000"/>
        <rFont val="Arial"/>
        <family val="2"/>
      </rPr>
      <t>,  SUMINISTRO DE PILAS AA – AAA – TIPO C,   Y ELECTRODOS O PARCHES PARA EQUIPOS DEA, EN CADA UNO DE LOS AEROPUERTOS QUE PRESTAN SERVICIOS DE SANIDAD AEROPORTUARIA EN LA REGIONAL VALLE ( ARMENIA, POPAYAN, PASTO, IPIALES, TUMACO), Y LAS AMBULANCIAS DE  BUENAVENTURA Y GUAPI</t>
    </r>
  </si>
  <si>
    <t>4 Meses y 15 Dias</t>
  </si>
  <si>
    <t>21360803100000503
51060801700000403</t>
  </si>
  <si>
    <t>SERVICIOS DE MANTENIMIENTO PREVENTIVO Y CORRECTIVO DE VEHÍCULOS AMBULANCIAS Y DE APOYO A LA OFICINA DE CONTROL Y SEGURIDAD AÉREA, INCLUYE REPUESTOS, REVISIÓN TÉCNICO MECÁNICA, ALINEACIÓN Y BALANCEO ENTRE OTROS SERVICIOS UBICADOS EN LA REGIONAL VALLE</t>
  </si>
  <si>
    <t>CONTROL Y SEGURIDAD AEREA  SANIDAD</t>
  </si>
  <si>
    <t>320608001000004
320608001000005</t>
  </si>
  <si>
    <t>SERVICIO DE EVENTO DEPORTIVO MEDIANTE LA REALIZACION DE PRACTICAS DEPORTIVAS EN LA MODALIDAD DE PASADIAS DIRIGIDAS A FUNCIOANRIOS CON PARTICIPACION DEL NUCLEO FAMILIAR Y VACACIONES RECREATIVAS PARA HIJOS DE FUNCIONARIOS CON ACTIVIDADES LUDICO/ RECREATIVAS DEL AEROPUERTO EL EDEN DE LA CIUDAD DE ARMENIA</t>
  </si>
  <si>
    <t>28/08/2015 $ 12,890,000</t>
  </si>
  <si>
    <t>Aeropuerto de Pereira
Aeropuerto de Cartago</t>
  </si>
  <si>
    <t>SERVICIO DE EVENTO DEPORTIVO MEDIANTE LA REALIZACION DE PRACTICAS DEPORTIVAS EN LA MODALIDAD DE PASADIAS DIRIGIDAS A FUNCIONARIOS CON PARTICIPACION DEL NUCLEO FAMILIAR Y VACACIONES RECREATIVAS PARA HIJOS DE FUNCIONARIOS CON  ACTIVIDADES LUDICO/RECREATIVAS DE LOS AEROPUERTOS DE MATECAÑA DE LA CIUDAD DE PEREIRA Y SANTA ANA DE LA CIUDAD DE CARTAGO</t>
  </si>
  <si>
    <t>26/08/2015 $ 10,809,112</t>
  </si>
  <si>
    <t>SERVICIO DE EVENTO DEPORTIVO MEDIANTE LA REALIZACION DE PRACTICAS DEPORTIVAS EN LA MODALIDAD DE PASADIAS DIRIGIDAS  A FUNCIONARIOS CON PARTICIPACION DEL NUCLEO FAMILIAR Y VACACIONES RECREATIVAS PARA HIJOS DE FUNCIONARIOS CON ACTIVIDADES LUDICO/RECREATIVAS DEL AEROPUERTO ANTONIO DE LA CIUDAD DE PASTO</t>
  </si>
  <si>
    <t>CONTRATAR SERVICIO DE EVENTO DEPORTIVO MEDIANTE LA REALIZACION DE PRACTICAS DEPORTIVAS EN LA MODALIDAD DE PASADIAS DIRIGIDAS A FUNCIONARIOS CON PARTICIPACION DEL NUCLEO FAMILIAR Y VACACIONES RECREATIVAS PARA HIJOS DE FUNCIONARIOS CON ACTIVIDADES LUDICO RECREATIVAS DEL AEROPUERTO GUILLERMO LEON VALENCIA DE LA CIUDAD DE POPAYAN</t>
  </si>
  <si>
    <t>05/08/2015 $5,566,000</t>
  </si>
  <si>
    <t>SERVICIO DE EVENTO DEPORTIVO MEDIANTE LA REALIZACION DE PRACTICAS DEPORTIVAS EN LA MODALIDAD DE PASADIAS DIRIGIDAS A FUNCIONARIOS  CON PARTICIPACION DEL NUCLEO  FAMILIAR Y VACACIONES RECREATIVAS  PARA HIJOS DE FUNCIONARIOS CON  ACTIVIDADES LUDICAS/RECREATIVAS DEL AEROPUERTO LA FLORIDA DE LA CIUDAD DE TUMACO</t>
  </si>
  <si>
    <t>18/09/2015 $ 3,056,626</t>
  </si>
  <si>
    <r>
      <t>SERVICIOS DE EVENTO DEPORTIVO MEDIANTE LA REALIZACION DE PRACTICAS DEPORTIVAS EN LA MODALIDAD DE PASADIAS DIRIGIDAS A FUNCIONARIOS CON PARTICIPACION DEL NUCLEO FAMILIAR Y VACACIONES RECREATIVAS PARA HIJOS DE FUNCIONARIOS CON ACTIVIDADES LUDICO/ RECREATIVAS DEL AEROPUERTO JUAN CASIANO SOLIS DE LA CIUDAD DE GUAPI</t>
    </r>
    <r>
      <rPr>
        <b/>
        <sz val="9"/>
        <rFont val="Arial"/>
        <family val="2"/>
      </rPr>
      <t>​​</t>
    </r>
  </si>
  <si>
    <t>05/08/2015 $3.056.616</t>
  </si>
  <si>
    <t>EL SERVICIO DE EVENTO DEPORTIVO MEDIANTE LA REALIZACIÓN DE PRACTICAS DEPORTIVAS EN LA MODALIDAD DE PASADIAS DIRIGIDAS A FUNCIONARIOS CON PARTICIPACION DEL NUCLEO FAMILIAR Y VACACIONES RECREATIVAS PARA HIJOS DE FUNCIONARIOS CON ACTIVIDADES DEL AEROPUERTO SAN LUIS UBICADO EN EL MUNICIPIO DE ALDANA Y QUE PRESTA LOS SERVICIOS AL MUNICIPIO DE IPIALES</t>
  </si>
  <si>
    <t>29/07/2015 $ 2,037,200</t>
  </si>
  <si>
    <t>SERVICIO DE EVENTO DEPORTIVO MEDIANTE LA REALIZACION DE PRACTICAS DEPORTIVAS EN LA MODALIDAD DE PASADIAS DIRIGIDAS A FUNCIONARIOS CON PARTICIPACION DEL NUCLEO FAMILIAR Y VACACIONES RECREATIVAS PARA HIJOS DE FUNCIONARIOS CON  ACTIVIDADES LUDICO/RECREATIVAS DEL AEROPUERTO GERARDO TOVAR LOPEZ DE LA CIUDAD DE BUENAVENTURA</t>
  </si>
  <si>
    <t>30 dias</t>
  </si>
  <si>
    <t>24/07/2015 $ 2,037,000</t>
  </si>
  <si>
    <t>51060801700000402
21360800300000611
21360800300000501
2040401</t>
  </si>
  <si>
    <t>COMBUSTIBLE Y LUBRICANTES PARA VEHﾍCULOS  UTILIZADOS EN CONTROL OPERACIONAL EN RAMPA, PLATAFORMA E INVESTIGACION DE ACCIDENTES Y/O INCIDENTES.</t>
  </si>
  <si>
    <t>LA ADQUISICIÓN DE VALES O TARJETAS ELECTRÓNICAS PARA EL SUMINISTRO DE COMBUSTIBLE Y LUBRICANTES EN BOMBAS O ESTACIONES DE SERVICIO, PARA USO VEHÍCULOS UTILIZADOS EN CONTROL OPERACIONAL EN RAMPA, PLATAFORMA E INVESTIGACIONES DE ACCIDENTES Y/O INCIDENTES, PARA LA MAQUINA EXTINTORA ASIGNADA AL GRUPO EL GRUPO DE SEI  EN EL AEROPUERTO DE GUAPI, PARA LOS VEHÍCULOS “AMBULANCIAS” ADSCRITAS A LAS SANIDADES AEROPORTUARIA EN LOS AEROPUERTOS QUE CONFORMAN LA REGIONAL Y PARA LA DIRECCIÓN REGIONAL VALLE</t>
  </si>
  <si>
    <t xml:space="preserve">CONTROL Y SEGURIDAD AEREA
SANIDAD
BOMBEROS
ADMINISTRATIVA
</t>
  </si>
  <si>
    <t>28/08/2015 $ 27,846,000</t>
  </si>
  <si>
    <t>AERONAUTICA CIVIL
Cronogramas de Inversión
Dependencia: Dirección de Desarrollo Aeroportuario  2015</t>
  </si>
  <si>
    <t>UBICACIÓN 
(sitio donde se Desarrolla el gasto)</t>
  </si>
  <si>
    <t xml:space="preserve">CONTRATAR   LA CONSTRUCCIÓN DE LA TORRE DE CONTROL DEL AEROPUERTO INTERNACIONAL ELDORADO Y DEL CENTRO DE  GESTIÓN AERONÁUTICO DE COLOMBIA CGAC- </t>
  </si>
  <si>
    <t>La programacion de  las obligaciones en el 1 y 2 trimestre correspondieron a las reservas del 2014 y en el 3 trimestre se inicio a facturar  las  obligaciones 2015</t>
  </si>
  <si>
    <t>La programacion de las obligaciones en el 1 y 2 trimestre correspondieron a las reservas del 2014 y en el 3 trimestre se iniocio obligacion 2015</t>
  </si>
  <si>
    <t xml:space="preserve">No ha iniciado obra porque no han aprobado la  licencia ambiental </t>
  </si>
  <si>
    <t xml:space="preserve">retrazo en obra pendiente revision Estudios y Diseño </t>
  </si>
  <si>
    <t xml:space="preserve">Retraso en obra revision Estudios y Diseño </t>
  </si>
  <si>
    <t>En proceso de adjudicacion</t>
  </si>
  <si>
    <t>Se reprograma la obligacion por que la fecha de inicio no se pudo cumplir debido ha que los materiales no llegaron a tiempo  y esto retraso la actividad, se extiende hasta Julio</t>
  </si>
  <si>
    <t>Sin proceso</t>
  </si>
  <si>
    <t>falta la entrega de los estudios ydiseños</t>
  </si>
  <si>
    <t>proceso convenio</t>
  </si>
  <si>
    <t>Acta inicio Agosto</t>
  </si>
  <si>
    <t>NO SE EJECUTA</t>
  </si>
  <si>
    <t>X ADJUDICAR</t>
  </si>
  <si>
    <t xml:space="preserve">ESTUDIOS Y DISEÑOS PENDIENTE X RECIBIR </t>
  </si>
  <si>
    <t>NO ENVIO</t>
  </si>
  <si>
    <t>REMITIO OTRA 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</si>
</sst>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0;[Red]#,##0"/>
    <numFmt numFmtId="169" formatCode="_ * #,##0_ ;_ * \-#,##0_ ;_ * &quot;-&quot;_ ;_ @_ "/>
    <numFmt numFmtId="170" formatCode="_(* #,##0_);_(* \(#,##0\);_(* &quot;-&quot;??_);_(@_)"/>
    <numFmt numFmtId="171" formatCode="_(&quot;$&quot;\ * #,##0_);_(&quot;$&quot;\ * \(#,##0\);_(&quot;$&quot;\ * &quot;-&quot;??_);_(@_)"/>
    <numFmt numFmtId="172" formatCode="d/mm/yyyy;@"/>
    <numFmt numFmtId="173" formatCode="&quot;$&quot;\ #,##0"/>
    <numFmt numFmtId="174" formatCode="[$-C0A]d\-mmm\-yy;@"/>
    <numFmt numFmtId="175" formatCode="_ * #,##0.00_ ;_ * \-#,##0.00_ ;_ * &quot;-&quot;??_ ;_ @_ "/>
    <numFmt numFmtId="176" formatCode="&quot;$&quot;#.00"/>
    <numFmt numFmtId="177" formatCode="&quot;$&quot;#&quot;.&quot;00"/>
    <numFmt numFmtId="178" formatCode="m\o\n\th\ d\,\ yyyy"/>
    <numFmt numFmtId="179" formatCode="_ [$€-2]\ * #,##0.00_ ;_ [$€-2]\ * \-#,##0.00_ ;_ [$€-2]\ * &quot;-&quot;??_ "/>
    <numFmt numFmtId="180" formatCode="_ [$€-2]\ * ###,0&quot;.&quot;00_ ;_ [$€-2]\ * \-###,0&quot;.&quot;00_ ;_ [$€-2]\ * &quot;-&quot;??_ "/>
    <numFmt numFmtId="181" formatCode="#.00"/>
    <numFmt numFmtId="182" formatCode="#&quot;.&quot;00"/>
    <numFmt numFmtId="183" formatCode="#."/>
    <numFmt numFmtId="184" formatCode="#&quot;.&quot;"/>
    <numFmt numFmtId="185" formatCode="_-* #,##0.00\ _P_t_a_-;\-* #,##0.00\ _P_t_a_-;_-* &quot;-&quot;??\ _P_t_a_-;_-@_-"/>
    <numFmt numFmtId="186" formatCode="_-* ###,0&quot;.&quot;00\ _P_t_a_-;\-* ###,0&quot;.&quot;00\ _P_t_a_-;_-* &quot;-&quot;??\ _P_t_a_-;_-@_-"/>
    <numFmt numFmtId="187" formatCode="_ * ###,0&quot;.&quot;00_ ;_ * \-###,0&quot;.&quot;00_ ;_ * &quot;-&quot;??_ ;_ @_ "/>
    <numFmt numFmtId="188" formatCode="_(* ###,0&quot;.&quot;00_);_(* \(###,0&quot;.&quot;00\);_(* &quot;-&quot;??_);_(@_)"/>
    <numFmt numFmtId="189" formatCode="_-* #,##0\ _P_t_s_-;\-* #,##0\ _P_t_s_-;_-* &quot;-&quot;\ _P_t_s_-;_-@_-"/>
    <numFmt numFmtId="190" formatCode="_(&quot;$&quot;\ * ###,0&quot;.&quot;00_);_(&quot;$&quot;\ * \(###,0&quot;.&quot;00\);_(&quot;$&quot;\ * &quot;-&quot;??_);_(@_)"/>
    <numFmt numFmtId="191" formatCode="%#.00"/>
    <numFmt numFmtId="192" formatCode="%#&quot;.&quot;00"/>
    <numFmt numFmtId="193" formatCode="#,##0.00;[Red]#,##0.00"/>
    <numFmt numFmtId="194" formatCode="_(* #.##0.00_);_(* \(#.##0.00\);_(* &quot;-&quot;??_);_(@_)"/>
    <numFmt numFmtId="195" formatCode="_ * #.##0.00_ ;_ * \-#.##0.00_ ;_ * &quot;-&quot;??_ ;_ @_ "/>
    <numFmt numFmtId="196" formatCode="0.0%"/>
    <numFmt numFmtId="197" formatCode="#,##0.0"/>
    <numFmt numFmtId="198" formatCode="#,##0.0;[Red]#,##0.0"/>
    <numFmt numFmtId="199" formatCode="&quot;$&quot;\ #,##0;[Red]&quot;$&quot;\ #,##0"/>
    <numFmt numFmtId="200" formatCode="[$$-240A]\ #,##0_);\([$$-240A]\ #,##0\)"/>
    <numFmt numFmtId="201" formatCode="_-* #,##0_-;\-* #,##0_-;_-* &quot;-&quot;??_-;_-@_-"/>
    <numFmt numFmtId="202" formatCode="#,##0\ _€;[Red]#,##0\ _€"/>
    <numFmt numFmtId="203" formatCode="_(* #,##0.0_);_(* \(#,##0.0\);_(* &quot;-&quot;??_);_(@_)"/>
    <numFmt numFmtId="204" formatCode="_ &quot;$&quot;\ * #,##0_ ;_ &quot;$&quot;\ * \-#,##0_ ;_ &quot;$&quot;\ * &quot;-&quot;??_ ;_ @_ "/>
    <numFmt numFmtId="205" formatCode="#,##0.000000000000"/>
    <numFmt numFmtId="206" formatCode="dd/mm/yyyy;@"/>
    <numFmt numFmtId="207" formatCode="[$-240A]d&quot; de &quot;mmmm&quot; de &quot;yyyy;@"/>
    <numFmt numFmtId="208" formatCode="_([$$-240A]\ * #,##0.00_);_([$$-240A]\ * \(#,##0.00\);_([$$-240A]\ * &quot;-&quot;??_);_(@_)"/>
    <numFmt numFmtId="209" formatCode="_-[$$-240A]* #,##0.00_-;\-[$$-240A]* #,##0.00_-;_-[$$-240A]* &quot;-&quot;??_-;_-@_-"/>
  </numFmts>
  <fonts count="140">
    <font>
      <sz val="11"/>
      <color theme="1"/>
      <name val="Calibri"/>
      <family val="2"/>
      <scheme val="minor"/>
    </font>
    <font>
      <sz val="11"/>
      <color indexed="8"/>
      <name val="Calibri"/>
      <family val="2"/>
    </font>
    <font>
      <sz val="8"/>
      <name val="Arial"/>
      <family val="2"/>
    </font>
    <font>
      <sz val="10"/>
      <name val="Arial"/>
      <family val="2"/>
    </font>
    <font>
      <sz val="9"/>
      <name val="Arial"/>
      <family val="2"/>
    </font>
    <font>
      <b/>
      <sz val="8"/>
      <name val="Arial"/>
      <family val="2"/>
    </font>
    <font>
      <b/>
      <sz val="10"/>
      <name val="Arial"/>
      <family val="2"/>
    </font>
    <font>
      <b/>
      <sz val="11"/>
      <name val="Arial"/>
      <family val="2"/>
    </font>
    <font>
      <b/>
      <sz val="9"/>
      <name val="Arial"/>
      <family val="2"/>
    </font>
    <font>
      <sz val="1"/>
      <color indexed="8"/>
      <name val="Courier"/>
      <family val="3"/>
    </font>
    <font>
      <sz val="10"/>
      <name val="Helv"/>
      <charset val="204"/>
    </font>
    <font>
      <b/>
      <sz val="1"/>
      <color indexed="8"/>
      <name val="Courier"/>
      <family val="3"/>
    </font>
    <font>
      <u/>
      <sz val="10"/>
      <color indexed="12"/>
      <name val="Arial"/>
      <family val="2"/>
    </font>
    <font>
      <sz val="11"/>
      <name val="Arial"/>
      <family val="2"/>
    </font>
    <font>
      <sz val="11"/>
      <color indexed="10"/>
      <name val="Calibri"/>
      <family val="2"/>
    </font>
    <font>
      <b/>
      <sz val="12"/>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2"/>
      <name val="Arial"/>
      <family val="2"/>
    </font>
    <font>
      <b/>
      <sz val="11"/>
      <name val="Calibri"/>
      <family val="2"/>
    </font>
    <font>
      <sz val="8"/>
      <color indexed="8"/>
      <name val="Arial"/>
      <family val="2"/>
    </font>
    <font>
      <b/>
      <sz val="9"/>
      <color indexed="81"/>
      <name val="Tahoma"/>
      <family val="2"/>
    </font>
    <font>
      <sz val="9"/>
      <color indexed="81"/>
      <name val="Tahoma"/>
      <family val="2"/>
    </font>
    <font>
      <sz val="8"/>
      <name val="Arial"/>
      <family val="2"/>
    </font>
    <font>
      <sz val="12"/>
      <name val="Arial"/>
      <family val="2"/>
    </font>
    <font>
      <sz val="10"/>
      <color indexed="8"/>
      <name val="Arial"/>
      <family val="2"/>
    </font>
    <font>
      <sz val="11"/>
      <name val="Calibri"/>
      <family val="2"/>
    </font>
    <font>
      <b/>
      <sz val="10"/>
      <name val="Calibri"/>
      <family val="2"/>
    </font>
    <font>
      <sz val="10"/>
      <name val="Calibri"/>
      <family val="2"/>
    </font>
    <font>
      <sz val="10"/>
      <color indexed="8"/>
      <name val="Calibri"/>
      <family val="2"/>
    </font>
    <font>
      <sz val="8"/>
      <name val="Calibri"/>
      <family val="2"/>
    </font>
    <font>
      <sz val="9"/>
      <color indexed="8"/>
      <name val="Calibri"/>
      <family val="2"/>
    </font>
    <font>
      <b/>
      <sz val="10"/>
      <color indexed="8"/>
      <name val="Calibri"/>
      <family val="2"/>
    </font>
    <font>
      <b/>
      <sz val="9"/>
      <color indexed="8"/>
      <name val="Calibri"/>
      <family val="2"/>
    </font>
    <font>
      <sz val="9"/>
      <name val="Tahoma"/>
      <family val="2"/>
    </font>
    <font>
      <b/>
      <sz val="9"/>
      <name val="Tahoma"/>
      <family val="2"/>
    </font>
    <font>
      <b/>
      <sz val="6"/>
      <name val="Arial"/>
      <family val="2"/>
    </font>
    <font>
      <b/>
      <u/>
      <sz val="9"/>
      <name val="Tahoma"/>
      <family val="2"/>
    </font>
    <font>
      <b/>
      <sz val="8"/>
      <name val="Calibri"/>
      <family val="2"/>
    </font>
    <font>
      <b/>
      <sz val="11"/>
      <color indexed="10"/>
      <name val="Calibri"/>
      <family val="2"/>
    </font>
    <font>
      <sz val="10"/>
      <color indexed="10"/>
      <name val="Calibri"/>
      <family val="2"/>
    </font>
    <font>
      <i/>
      <sz val="10"/>
      <color indexed="10"/>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theme="0"/>
      <name val="Calibri"/>
      <family val="2"/>
      <scheme val="minor"/>
    </font>
    <font>
      <sz val="11"/>
      <color rgb="FFFA7D00"/>
      <name val="Calibri"/>
      <family val="2"/>
      <scheme val="minor"/>
    </font>
    <font>
      <u/>
      <sz val="11"/>
      <color theme="10"/>
      <name val="Calibri"/>
      <family val="2"/>
      <scheme val="minor"/>
    </font>
    <font>
      <u/>
      <sz val="8"/>
      <color theme="10"/>
      <name val="Arial"/>
      <family val="2"/>
    </font>
    <font>
      <sz val="11"/>
      <color rgb="FF363636"/>
      <name val="Calibri"/>
      <family val="2"/>
      <scheme val="minor"/>
    </font>
    <font>
      <sz val="11"/>
      <color rgb="FF000000"/>
      <name val="Calibri"/>
      <family val="2"/>
    </font>
    <font>
      <sz val="11"/>
      <color rgb="FFFF0000"/>
      <name val="Calibri"/>
      <family val="2"/>
      <scheme val="minor"/>
    </font>
    <font>
      <b/>
      <sz val="11"/>
      <color theme="1"/>
      <name val="Calibri"/>
      <family val="2"/>
      <scheme val="minor"/>
    </font>
    <font>
      <b/>
      <sz val="10"/>
      <color theme="0"/>
      <name val="Arial"/>
      <family val="2"/>
    </font>
    <font>
      <u/>
      <sz val="11"/>
      <name val="Calibri"/>
      <family val="2"/>
      <scheme val="minor"/>
    </font>
    <font>
      <sz val="8"/>
      <color theme="3"/>
      <name val="Arial"/>
      <family val="2"/>
    </font>
    <font>
      <sz val="12"/>
      <color theme="0"/>
      <name val="Calibri"/>
      <family val="2"/>
      <scheme val="minor"/>
    </font>
    <font>
      <sz val="10"/>
      <color theme="1"/>
      <name val="Arial"/>
      <family val="2"/>
    </font>
    <font>
      <b/>
      <sz val="10"/>
      <color theme="1"/>
      <name val="Arial"/>
      <family val="2"/>
    </font>
    <font>
      <sz val="11"/>
      <color theme="1"/>
      <name val="Arial"/>
      <family val="2"/>
    </font>
    <font>
      <sz val="11"/>
      <name val="Calibri"/>
      <family val="2"/>
      <scheme val="minor"/>
    </font>
    <font>
      <sz val="12"/>
      <color theme="1"/>
      <name val="Arial"/>
      <family val="2"/>
    </font>
    <font>
      <b/>
      <sz val="18"/>
      <color theme="0"/>
      <name val="Arial"/>
      <family val="2"/>
    </font>
    <font>
      <sz val="9"/>
      <color theme="1"/>
      <name val="Calibri"/>
      <family val="2"/>
      <scheme val="minor"/>
    </font>
    <font>
      <b/>
      <sz val="18"/>
      <color theme="1"/>
      <name val="Calibri"/>
      <family val="2"/>
      <scheme val="minor"/>
    </font>
    <font>
      <sz val="18"/>
      <color theme="1"/>
      <name val="Calibri"/>
      <family val="2"/>
      <scheme val="minor"/>
    </font>
    <font>
      <b/>
      <sz val="11"/>
      <color theme="1"/>
      <name val="Arial"/>
      <family val="2"/>
    </font>
    <font>
      <b/>
      <sz val="11"/>
      <color theme="1" tint="4.9989318521683403E-2"/>
      <name val="Arial"/>
      <family val="2"/>
    </font>
    <font>
      <sz val="11"/>
      <color theme="1" tint="4.9989318521683403E-2"/>
      <name val="Arial"/>
      <family val="2"/>
    </font>
    <font>
      <b/>
      <sz val="12"/>
      <color theme="1"/>
      <name val="Arial"/>
      <family val="2"/>
    </font>
    <font>
      <sz val="12"/>
      <color rgb="FFC00000"/>
      <name val="Calibri"/>
      <family val="2"/>
    </font>
    <font>
      <b/>
      <sz val="8"/>
      <color rgb="FFC00000"/>
      <name val="Calibri"/>
      <family val="2"/>
    </font>
    <font>
      <sz val="8"/>
      <name val="Calibri"/>
      <family val="2"/>
      <scheme val="minor"/>
    </font>
    <font>
      <b/>
      <sz val="11"/>
      <name val="Calibri"/>
      <family val="2"/>
      <scheme val="minor"/>
    </font>
    <font>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name val="Calibri"/>
      <family val="2"/>
      <scheme val="minor"/>
    </font>
    <font>
      <i/>
      <sz val="10"/>
      <color theme="1"/>
      <name val="Calibri"/>
      <family val="2"/>
      <scheme val="minor"/>
    </font>
    <font>
      <sz val="10"/>
      <color theme="3" tint="0.59999389629810485"/>
      <name val="Calibri"/>
      <family val="2"/>
      <scheme val="minor"/>
    </font>
    <font>
      <b/>
      <sz val="10"/>
      <color theme="1"/>
      <name val="Calibri"/>
      <family val="2"/>
      <scheme val="minor"/>
    </font>
    <font>
      <i/>
      <sz val="10"/>
      <color theme="3" tint="0.59999389629810485"/>
      <name val="Calibri"/>
      <family val="2"/>
      <scheme val="minor"/>
    </font>
    <font>
      <b/>
      <i/>
      <sz val="10"/>
      <color theme="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1"/>
      <color theme="3" tint="0.59999389629810485"/>
      <name val="Calibri"/>
      <family val="2"/>
      <scheme val="minor"/>
    </font>
    <font>
      <b/>
      <sz val="10"/>
      <color rgb="FFFF0000"/>
      <name val="Calibri"/>
      <family val="2"/>
      <scheme val="minor"/>
    </font>
    <font>
      <sz val="10"/>
      <color rgb="FFC00000"/>
      <name val="Calibri"/>
      <family val="2"/>
      <scheme val="minor"/>
    </font>
    <font>
      <sz val="11"/>
      <color rgb="FF000000"/>
      <name val="Calibri"/>
      <family val="2"/>
      <scheme val="minor"/>
    </font>
    <font>
      <sz val="8"/>
      <color theme="1"/>
      <name val="Arial"/>
      <family val="2"/>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8"/>
      <color rgb="FFFF0000"/>
      <name val="Arial"/>
      <family val="2"/>
    </font>
    <font>
      <b/>
      <sz val="14"/>
      <color theme="1"/>
      <name val="Calibri"/>
      <family val="2"/>
      <scheme val="minor"/>
    </font>
    <font>
      <sz val="10"/>
      <color rgb="FFFF0000"/>
      <name val="Arial"/>
      <family val="2"/>
    </font>
    <font>
      <sz val="8"/>
      <color rgb="FFFF0000"/>
      <name val="Arial"/>
      <family val="2"/>
    </font>
    <font>
      <b/>
      <sz val="14"/>
      <color rgb="FF000000"/>
      <name val="Calibri"/>
      <family val="2"/>
      <scheme val="minor"/>
    </font>
    <font>
      <b/>
      <sz val="9"/>
      <name val="Calibri"/>
      <family val="2"/>
      <scheme val="minor"/>
    </font>
    <font>
      <sz val="9"/>
      <name val="Calibri"/>
      <family val="2"/>
      <scheme val="minor"/>
    </font>
    <font>
      <b/>
      <sz val="9"/>
      <color theme="0"/>
      <name val="Arial"/>
      <family val="2"/>
    </font>
    <font>
      <b/>
      <sz val="14"/>
      <color theme="0"/>
      <name val="Arial"/>
      <family val="2"/>
    </font>
    <font>
      <b/>
      <sz val="16"/>
      <color theme="0"/>
      <name val="Arial"/>
      <family val="2"/>
    </font>
    <font>
      <b/>
      <sz val="14"/>
      <color theme="1"/>
      <name val="Arial"/>
      <family val="2"/>
    </font>
    <font>
      <b/>
      <sz val="22"/>
      <color theme="0"/>
      <name val="Arial"/>
      <family val="2"/>
    </font>
    <font>
      <sz val="9"/>
      <color theme="1"/>
      <name val="Arial"/>
      <family val="2"/>
    </font>
    <font>
      <sz val="9"/>
      <color rgb="FFFF0000"/>
      <name val="Arial"/>
      <family val="2"/>
    </font>
    <font>
      <sz val="10"/>
      <color rgb="FF000000"/>
      <name val="Arial"/>
      <family val="2"/>
    </font>
    <font>
      <sz val="11"/>
      <color indexed="8"/>
      <name val="Arial"/>
      <family val="2"/>
    </font>
    <font>
      <sz val="9"/>
      <color indexed="8"/>
      <name val="Arial"/>
      <family val="2"/>
    </font>
    <font>
      <sz val="10"/>
      <color rgb="FFFF0000"/>
      <name val="Calibri"/>
      <family val="2"/>
    </font>
    <font>
      <b/>
      <i/>
      <sz val="10"/>
      <color rgb="FFFF0000"/>
      <name val="Calibri"/>
      <family val="2"/>
    </font>
    <font>
      <sz val="10"/>
      <color rgb="FF000000"/>
      <name val="Calibri"/>
      <family val="2"/>
    </font>
    <font>
      <sz val="12"/>
      <color theme="1"/>
      <name val="Arial Narrow"/>
      <family val="2"/>
    </font>
    <font>
      <b/>
      <sz val="14"/>
      <name val="Calibri"/>
      <family val="2"/>
      <scheme val="minor"/>
    </font>
    <font>
      <sz val="10"/>
      <name val="Arial(W1)"/>
      <family val="2"/>
    </font>
    <font>
      <b/>
      <sz val="10"/>
      <name val="Cambria"/>
      <family val="1"/>
    </font>
    <font>
      <b/>
      <sz val="9"/>
      <color theme="1"/>
      <name val="Calibri"/>
      <family val="2"/>
      <scheme val="minor"/>
    </font>
    <font>
      <b/>
      <u/>
      <sz val="9"/>
      <color theme="1"/>
      <name val="Arial"/>
      <family val="2"/>
    </font>
    <font>
      <u/>
      <sz val="9"/>
      <color theme="1"/>
      <name val="Arial"/>
      <family val="2"/>
    </font>
    <font>
      <sz val="9"/>
      <color rgb="FF000000"/>
      <name val="Arial"/>
      <family val="2"/>
    </font>
    <font>
      <b/>
      <u/>
      <sz val="9"/>
      <color theme="1"/>
      <name val="Tahoma"/>
      <family val="2"/>
    </font>
    <font>
      <sz val="9"/>
      <color theme="1"/>
      <name val="Times New Roman"/>
      <family val="1"/>
    </font>
    <font>
      <b/>
      <sz val="8"/>
      <color theme="1"/>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patternFill>
    </fill>
    <fill>
      <patternFill patternType="solid">
        <fgColor rgb="FFFFFFCC"/>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3"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39997558519241921"/>
        <bgColor indexed="64"/>
      </patternFill>
    </fill>
    <fill>
      <patternFill patternType="solid">
        <fgColor rgb="FFFFFFFF"/>
        <bgColor rgb="FF000000"/>
      </patternFill>
    </fill>
    <fill>
      <patternFill patternType="solid">
        <fgColor rgb="FF002060"/>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59996337778862885"/>
        <bgColor rgb="FF000000"/>
      </patternFill>
    </fill>
    <fill>
      <patternFill patternType="solid">
        <fgColor theme="4" tint="0.59996337778862885"/>
        <bgColor indexed="64"/>
      </patternFill>
    </fill>
    <fill>
      <patternFill patternType="solid">
        <fgColor rgb="FFC0C0C0"/>
        <bgColor rgb="FF000000"/>
      </patternFill>
    </fill>
    <fill>
      <patternFill patternType="solid">
        <fgColor rgb="FF00CCFF"/>
        <bgColor rgb="FF000000"/>
      </patternFill>
    </fill>
    <fill>
      <patternFill patternType="solid">
        <fgColor rgb="FFFFFF00"/>
        <bgColor rgb="FF000000"/>
      </patternFill>
    </fill>
    <fill>
      <patternFill patternType="solid">
        <fgColor rgb="FF00FF00"/>
        <bgColor rgb="FF000000"/>
      </patternFill>
    </fill>
    <fill>
      <patternFill patternType="solid">
        <fgColor rgb="FFB8CCE4"/>
        <bgColor rgb="FF000000"/>
      </patternFill>
    </fill>
    <fill>
      <patternFill patternType="solid">
        <fgColor rgb="FF8064A2"/>
        <bgColor rgb="FF000000"/>
      </patternFill>
    </fill>
    <fill>
      <patternFill patternType="solid">
        <fgColor rgb="FF963634"/>
        <bgColor rgb="FF000000"/>
      </patternFill>
    </fill>
    <fill>
      <patternFill patternType="solid">
        <fgColor rgb="FFDA9694"/>
        <bgColor rgb="FF000000"/>
      </patternFill>
    </fill>
    <fill>
      <patternFill patternType="solid">
        <fgColor rgb="FF8DB4E2"/>
        <bgColor rgb="FF000000"/>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right/>
      <top style="thin">
        <color indexed="64"/>
      </top>
      <bottom/>
      <diagonal/>
    </border>
    <border>
      <left style="thin">
        <color indexed="64"/>
      </left>
      <right style="double">
        <color auto="1"/>
      </right>
      <top style="thin">
        <color indexed="64"/>
      </top>
      <bottom/>
      <diagonal/>
    </border>
    <border>
      <left style="double">
        <color auto="1"/>
      </left>
      <right style="double">
        <color auto="1"/>
      </right>
      <top style="double">
        <color auto="1"/>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indexed="64"/>
      </bottom>
      <diagonal/>
    </border>
    <border>
      <left style="double">
        <color auto="1"/>
      </left>
      <right style="double">
        <color auto="1"/>
      </right>
      <top style="double">
        <color auto="1"/>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right/>
      <top/>
      <bottom style="thick">
        <color auto="1"/>
      </bottom>
      <diagonal/>
    </border>
    <border>
      <left style="thick">
        <color indexed="64"/>
      </left>
      <right style="thin">
        <color indexed="64"/>
      </right>
      <top/>
      <bottom style="thick">
        <color auto="1"/>
      </bottom>
      <diagonal/>
    </border>
    <border>
      <left style="thin">
        <color indexed="64"/>
      </left>
      <right style="thick">
        <color indexed="64"/>
      </right>
      <top/>
      <bottom style="thick">
        <color indexed="64"/>
      </bottom>
      <diagonal/>
    </border>
    <border>
      <left style="thick">
        <color indexed="64"/>
      </left>
      <right style="thin">
        <color indexed="64"/>
      </right>
      <top style="thick">
        <color auto="1"/>
      </top>
      <bottom/>
      <diagonal/>
    </border>
    <border>
      <left/>
      <right/>
      <top style="thick">
        <color auto="1"/>
      </top>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0"/>
      </bottom>
      <diagonal/>
    </border>
    <border>
      <left style="thin">
        <color indexed="64"/>
      </left>
      <right style="thin">
        <color indexed="64"/>
      </right>
      <top style="thin">
        <color indexed="0"/>
      </top>
      <bottom/>
      <diagonal/>
    </border>
    <border>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theme="0" tint="-0.14999847407452621"/>
      </right>
      <top/>
      <bottom style="thin">
        <color indexed="64"/>
      </bottom>
      <diagonal/>
    </border>
    <border>
      <left/>
      <right/>
      <top/>
      <bottom style="thin">
        <color theme="4" tint="0.39997558519241921"/>
      </bottom>
      <diagonal/>
    </border>
  </borders>
  <cellStyleXfs count="683">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6" fillId="4" borderId="0" applyNumberFormat="0" applyBorder="0" applyAlignment="0" applyProtection="0"/>
    <xf numFmtId="0" fontId="17" fillId="16" borderId="1" applyNumberFormat="0" applyAlignment="0" applyProtection="0"/>
    <xf numFmtId="0" fontId="18" fillId="17" borderId="2" applyNumberFormat="0" applyAlignment="0" applyProtection="0"/>
    <xf numFmtId="0" fontId="19" fillId="0" borderId="3" applyNumberFormat="0" applyFill="0" applyAlignment="0" applyProtection="0"/>
    <xf numFmtId="0" fontId="58" fillId="0" borderId="59" applyNumberFormat="0" applyFill="0" applyAlignment="0" applyProtection="0"/>
    <xf numFmtId="4" fontId="9" fillId="0" borderId="0">
      <protection locked="0"/>
    </xf>
    <xf numFmtId="176" fontId="9" fillId="0" borderId="0">
      <protection locked="0"/>
    </xf>
    <xf numFmtId="177" fontId="9" fillId="0" borderId="0">
      <protection locked="0"/>
    </xf>
    <xf numFmtId="178" fontId="9" fillId="0" borderId="0">
      <protection locked="0"/>
    </xf>
    <xf numFmtId="0" fontId="20" fillId="0" borderId="0" applyNumberFormat="0" applyFill="0" applyBorder="0" applyAlignment="0" applyProtection="0"/>
    <xf numFmtId="0" fontId="16" fillId="18" borderId="0" applyNumberFormat="0" applyBorder="0" applyAlignment="0" applyProtection="0"/>
    <xf numFmtId="0" fontId="55"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1" fillId="7" borderId="1" applyNumberFormat="0" applyAlignment="0" applyProtection="0"/>
    <xf numFmtId="0" fontId="10" fillId="0" borderId="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9" fillId="0" borderId="0">
      <protection locked="0"/>
    </xf>
    <xf numFmtId="182" fontId="9" fillId="0" borderId="0">
      <protection locked="0"/>
    </xf>
    <xf numFmtId="183" fontId="11" fillId="0" borderId="0">
      <protection locked="0"/>
    </xf>
    <xf numFmtId="184" fontId="11" fillId="0" borderId="0">
      <protection locked="0"/>
    </xf>
    <xf numFmtId="183" fontId="11" fillId="0" borderId="0">
      <protection locked="0"/>
    </xf>
    <xf numFmtId="184" fontId="11" fillId="0" borderId="0">
      <protection locked="0"/>
    </xf>
    <xf numFmtId="0" fontId="59" fillId="0" borderId="0" applyNumberFormat="0" applyFill="0" applyBorder="0" applyAlignment="0" applyProtection="0"/>
    <xf numFmtId="0" fontId="12" fillId="0" borderId="0" applyNumberFormat="0" applyFill="0" applyBorder="0" applyAlignment="0" applyProtection="0">
      <alignment vertical="top"/>
      <protection locked="0"/>
    </xf>
    <xf numFmtId="0" fontId="60" fillId="0" borderId="0" applyNumberFormat="0" applyFill="0" applyBorder="0" applyAlignment="0" applyProtection="0"/>
    <xf numFmtId="0" fontId="59" fillId="0" borderId="0" applyNumberFormat="0" applyFill="0" applyBorder="0" applyAlignment="0" applyProtection="0"/>
    <xf numFmtId="0" fontId="22" fillId="3" borderId="0" applyNumberFormat="0" applyBorder="0" applyAlignment="0" applyProtection="0"/>
    <xf numFmtId="167" fontId="5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2" fillId="0" borderId="0" applyFont="0" applyFill="0" applyBorder="0" applyAlignment="0" applyProtection="0"/>
    <xf numFmtId="43" fontId="54"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7"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175" fontId="2" fillId="0" borderId="0" applyFont="0" applyFill="0" applyBorder="0" applyAlignment="0" applyProtection="0"/>
    <xf numFmtId="187" fontId="2"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195"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9" fontId="3" fillId="0" borderId="0" applyFont="0" applyFill="0" applyBorder="0" applyAlignment="0" applyProtection="0"/>
    <xf numFmtId="166" fontId="54" fillId="0" borderId="0" applyFont="0" applyFill="0" applyBorder="0" applyAlignment="0" applyProtection="0"/>
    <xf numFmtId="166" fontId="1" fillId="0" borderId="0" applyFont="0" applyFill="0" applyBorder="0" applyAlignment="0" applyProtection="0"/>
    <xf numFmtId="190"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4" fillId="0" borderId="0" applyFont="0" applyFill="0" applyBorder="0" applyAlignment="0" applyProtection="0"/>
    <xf numFmtId="0" fontId="23" fillId="22" borderId="0" applyNumberFormat="0" applyBorder="0" applyAlignment="0" applyProtection="0"/>
    <xf numFmtId="0" fontId="2" fillId="0" borderId="0"/>
    <xf numFmtId="174" fontId="2" fillId="0" borderId="0"/>
    <xf numFmtId="0" fontId="54" fillId="0" borderId="0"/>
    <xf numFmtId="0" fontId="54" fillId="0" borderId="0"/>
    <xf numFmtId="0" fontId="2" fillId="0" borderId="0"/>
    <xf numFmtId="0" fontId="2" fillId="0" borderId="0"/>
    <xf numFmtId="0" fontId="3" fillId="0" borderId="0">
      <alignment wrapText="1"/>
    </xf>
    <xf numFmtId="0" fontId="54" fillId="0" borderId="0"/>
    <xf numFmtId="0" fontId="35" fillId="0" borderId="0"/>
    <xf numFmtId="0" fontId="54"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1" fillId="0" borderId="0"/>
    <xf numFmtId="174" fontId="5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174"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54"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174" fontId="2" fillId="0" borderId="0"/>
    <xf numFmtId="0" fontId="2" fillId="0" borderId="0"/>
    <xf numFmtId="0" fontId="3" fillId="0" borderId="0"/>
    <xf numFmtId="0" fontId="3" fillId="0" borderId="0"/>
    <xf numFmtId="0" fontId="1" fillId="25" borderId="60"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191" fontId="9" fillId="0" borderId="0">
      <protection locked="0"/>
    </xf>
    <xf numFmtId="192" fontId="9" fillId="0" borderId="0">
      <protection locked="0"/>
    </xf>
    <xf numFmtId="9" fontId="54"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0" fontId="24" fillId="16" borderId="6" applyNumberFormat="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27" fillId="0" borderId="4" applyNumberFormat="0" applyFill="0" applyAlignment="0" applyProtection="0"/>
    <xf numFmtId="0" fontId="28" fillId="0" borderId="7" applyNumberFormat="0" applyFill="0" applyAlignment="0" applyProtection="0"/>
    <xf numFmtId="0" fontId="20" fillId="0" borderId="8" applyNumberFormat="0" applyFill="0" applyAlignment="0" applyProtection="0"/>
    <xf numFmtId="0" fontId="26" fillId="0" borderId="0" applyNumberFormat="0" applyFill="0" applyBorder="0" applyAlignment="0" applyProtection="0"/>
    <xf numFmtId="0" fontId="29" fillId="0" borderId="9" applyNumberFormat="0" applyFill="0" applyAlignment="0" applyProtection="0"/>
    <xf numFmtId="167" fontId="3" fillId="0" borderId="0" applyFont="0" applyFill="0" applyBorder="0" applyAlignment="0" applyProtection="0"/>
    <xf numFmtId="0" fontId="37" fillId="0" borderId="0"/>
  </cellStyleXfs>
  <cellXfs count="1853">
    <xf numFmtId="0" fontId="0" fillId="0" borderId="0" xfId="0"/>
    <xf numFmtId="0" fontId="2" fillId="26" borderId="0" xfId="379" applyFill="1"/>
    <xf numFmtId="9" fontId="2" fillId="0" borderId="0" xfId="437" applyFont="1" applyFill="1" applyBorder="1" applyAlignment="1">
      <alignment horizontal="center" vertical="center" wrapText="1"/>
    </xf>
    <xf numFmtId="0" fontId="2" fillId="0" borderId="0" xfId="379"/>
    <xf numFmtId="0" fontId="7" fillId="27" borderId="10" xfId="379" applyFont="1" applyFill="1" applyBorder="1" applyAlignment="1">
      <alignment horizontal="center" vertical="center" wrapText="1"/>
    </xf>
    <xf numFmtId="0" fontId="7" fillId="27" borderId="11" xfId="379" applyFont="1" applyFill="1" applyBorder="1" applyAlignment="1">
      <alignment horizontal="center" vertical="center"/>
    </xf>
    <xf numFmtId="0" fontId="5" fillId="0" borderId="12" xfId="379" applyFont="1" applyFill="1" applyBorder="1" applyAlignment="1">
      <alignment vertical="center" wrapText="1"/>
    </xf>
    <xf numFmtId="9" fontId="54" fillId="0" borderId="0" xfId="437" quotePrefix="1" applyFont="1" applyBorder="1" applyAlignment="1">
      <alignment horizontal="center" vertical="center"/>
    </xf>
    <xf numFmtId="0" fontId="5" fillId="28" borderId="12" xfId="379" applyFont="1" applyFill="1" applyBorder="1" applyAlignment="1">
      <alignment vertical="center" wrapText="1"/>
    </xf>
    <xf numFmtId="9" fontId="59" fillId="28" borderId="13" xfId="74" quotePrefix="1" applyNumberFormat="1" applyFill="1" applyBorder="1" applyAlignment="1">
      <alignment horizontal="center" vertical="center"/>
    </xf>
    <xf numFmtId="0" fontId="5" fillId="26" borderId="12" xfId="379" applyFont="1" applyFill="1" applyBorder="1" applyAlignment="1">
      <alignment vertical="center" wrapText="1"/>
    </xf>
    <xf numFmtId="9" fontId="65" fillId="29" borderId="14" xfId="438" applyFont="1" applyFill="1" applyBorder="1" applyAlignment="1">
      <alignment horizontal="center" vertical="center"/>
    </xf>
    <xf numFmtId="0" fontId="2" fillId="26" borderId="0" xfId="379" applyFill="1" applyAlignment="1">
      <alignment wrapText="1"/>
    </xf>
    <xf numFmtId="0" fontId="2" fillId="0" borderId="0" xfId="379" applyAlignment="1">
      <alignment wrapText="1"/>
    </xf>
    <xf numFmtId="0" fontId="65" fillId="29" borderId="15" xfId="379" applyFont="1" applyFill="1" applyBorder="1" applyAlignment="1">
      <alignment vertical="center"/>
    </xf>
    <xf numFmtId="9" fontId="54" fillId="0" borderId="0" xfId="437" quotePrefix="1" applyFont="1" applyBorder="1" applyAlignment="1">
      <alignment horizontal="center" vertical="center"/>
    </xf>
    <xf numFmtId="9" fontId="66" fillId="28" borderId="13" xfId="74" quotePrefix="1" applyNumberFormat="1" applyFont="1" applyFill="1" applyBorder="1" applyAlignment="1">
      <alignment horizontal="center" vertical="center"/>
    </xf>
    <xf numFmtId="0" fontId="2" fillId="0" borderId="0" xfId="355" applyAlignment="1" applyProtection="1">
      <alignment vertical="center"/>
      <protection locked="0"/>
    </xf>
    <xf numFmtId="0" fontId="0" fillId="0" borderId="0" xfId="0" applyAlignment="1" applyProtection="1">
      <alignment horizontal="center" vertical="center"/>
      <protection locked="0"/>
    </xf>
    <xf numFmtId="0" fontId="3" fillId="0" borderId="13" xfId="355" applyFont="1" applyBorder="1" applyAlignment="1" applyProtection="1">
      <alignment horizontal="center" vertical="center"/>
      <protection locked="0"/>
    </xf>
    <xf numFmtId="0" fontId="2" fillId="0" borderId="0" xfId="355" applyFont="1" applyAlignment="1" applyProtection="1">
      <alignment vertical="center"/>
      <protection locked="0"/>
    </xf>
    <xf numFmtId="0" fontId="2" fillId="26" borderId="13" xfId="0" applyFont="1" applyFill="1" applyBorder="1" applyAlignment="1" applyProtection="1">
      <alignment vertical="center" wrapText="1"/>
    </xf>
    <xf numFmtId="9" fontId="59" fillId="0" borderId="13" xfId="74" applyNumberFormat="1" applyFill="1" applyBorder="1" applyAlignment="1">
      <alignment horizontal="center" vertical="center" wrapText="1"/>
    </xf>
    <xf numFmtId="9" fontId="59" fillId="0" borderId="13" xfId="74" quotePrefix="1" applyNumberFormat="1" applyBorder="1" applyAlignment="1">
      <alignment horizontal="center" vertical="center"/>
    </xf>
    <xf numFmtId="0" fontId="2" fillId="0" borderId="13" xfId="355" applyFont="1" applyBorder="1" applyAlignment="1" applyProtection="1">
      <alignment vertical="center"/>
      <protection locked="0"/>
    </xf>
    <xf numFmtId="9" fontId="59" fillId="0" borderId="13" xfId="74" quotePrefix="1" applyNumberFormat="1" applyFill="1" applyBorder="1" applyAlignment="1">
      <alignment horizontal="center" vertical="center"/>
    </xf>
    <xf numFmtId="9" fontId="59" fillId="26" borderId="13" xfId="74" quotePrefix="1" applyNumberFormat="1" applyFill="1" applyBorder="1" applyAlignment="1">
      <alignment horizontal="center" vertical="center"/>
    </xf>
    <xf numFmtId="170" fontId="54" fillId="0" borderId="0" xfId="198" applyNumberFormat="1" applyFont="1" applyAlignment="1" applyProtection="1">
      <alignment horizontal="center" vertical="center"/>
      <protection locked="0"/>
    </xf>
    <xf numFmtId="14" fontId="0" fillId="0" borderId="0" xfId="0" applyNumberFormat="1"/>
    <xf numFmtId="21" fontId="0" fillId="0" borderId="0" xfId="0" applyNumberFormat="1"/>
    <xf numFmtId="168" fontId="68" fillId="30" borderId="0" xfId="0" applyNumberFormat="1" applyFont="1" applyFill="1"/>
    <xf numFmtId="0" fontId="55" fillId="30" borderId="0" xfId="0" applyFont="1" applyFill="1"/>
    <xf numFmtId="9" fontId="68" fillId="30" borderId="0" xfId="437" applyFont="1" applyFill="1"/>
    <xf numFmtId="168" fontId="0" fillId="0" borderId="61" xfId="0" applyNumberFormat="1" applyBorder="1"/>
    <xf numFmtId="9" fontId="54" fillId="0" borderId="61" xfId="437" applyFont="1" applyBorder="1"/>
    <xf numFmtId="196" fontId="54" fillId="0" borderId="61" xfId="437" applyNumberFormat="1" applyFont="1" applyBorder="1"/>
    <xf numFmtId="0" fontId="0" fillId="0" borderId="0" xfId="0"/>
    <xf numFmtId="0" fontId="0" fillId="0" borderId="0" xfId="0" applyAlignment="1" applyProtection="1">
      <alignment vertical="center"/>
      <protection locked="0"/>
    </xf>
    <xf numFmtId="0" fontId="0" fillId="0" borderId="0" xfId="0" applyAlignment="1" applyProtection="1">
      <alignment vertical="center"/>
    </xf>
    <xf numFmtId="170" fontId="36" fillId="0" borderId="0" xfId="198" applyNumberFormat="1" applyFont="1" applyAlignment="1" applyProtection="1">
      <alignment horizontal="center" vertical="center"/>
      <protection locked="0"/>
    </xf>
    <xf numFmtId="3" fontId="31" fillId="26" borderId="13" xfId="0" applyNumberFormat="1" applyFont="1" applyFill="1" applyBorder="1" applyAlignment="1" applyProtection="1">
      <alignment horizontal="right" vertical="center"/>
    </xf>
    <xf numFmtId="0" fontId="32" fillId="26" borderId="13" xfId="0" applyFont="1" applyFill="1" applyBorder="1" applyAlignment="1" applyProtection="1">
      <alignment vertical="center" wrapText="1"/>
    </xf>
    <xf numFmtId="0" fontId="0" fillId="26" borderId="0" xfId="0" applyFill="1"/>
    <xf numFmtId="0" fontId="0" fillId="0" borderId="0" xfId="0"/>
    <xf numFmtId="0" fontId="0" fillId="0" borderId="0" xfId="0"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69" fillId="0" borderId="0" xfId="0" applyFont="1"/>
    <xf numFmtId="0" fontId="69" fillId="0" borderId="0" xfId="0" applyFont="1" applyAlignment="1">
      <alignment vertical="center"/>
    </xf>
    <xf numFmtId="0" fontId="69" fillId="0" borderId="13" xfId="0" applyFont="1" applyBorder="1" applyAlignment="1">
      <alignment horizontal="center" vertical="center"/>
    </xf>
    <xf numFmtId="0" fontId="69" fillId="0" borderId="13" xfId="0" applyFont="1" applyBorder="1" applyAlignment="1">
      <alignment vertical="center"/>
    </xf>
    <xf numFmtId="0" fontId="6" fillId="0" borderId="13" xfId="0" applyFont="1" applyBorder="1" applyAlignment="1">
      <alignment horizontal="center" vertical="center" wrapText="1"/>
    </xf>
    <xf numFmtId="0" fontId="70" fillId="0" borderId="13" xfId="0" applyFont="1" applyBorder="1" applyAlignment="1">
      <alignment vertical="center"/>
    </xf>
    <xf numFmtId="0" fontId="3" fillId="0" borderId="13" xfId="0" applyFont="1" applyBorder="1" applyAlignment="1">
      <alignment horizontal="justify" vertical="center" wrapText="1"/>
    </xf>
    <xf numFmtId="0" fontId="70" fillId="0" borderId="13" xfId="0" applyFont="1" applyBorder="1" applyAlignment="1">
      <alignment vertical="center" wrapText="1"/>
    </xf>
    <xf numFmtId="0" fontId="70" fillId="0" borderId="13" xfId="0" applyFont="1" applyBorder="1"/>
    <xf numFmtId="0" fontId="2" fillId="26" borderId="13" xfId="355" applyFont="1" applyFill="1" applyBorder="1" applyAlignment="1" applyProtection="1">
      <alignment horizontal="center" vertical="center"/>
      <protection locked="0"/>
    </xf>
    <xf numFmtId="0" fontId="3" fillId="0" borderId="13" xfId="355" applyFont="1" applyBorder="1" applyAlignment="1" applyProtection="1">
      <alignment vertical="center"/>
      <protection locked="0"/>
    </xf>
    <xf numFmtId="0" fontId="71" fillId="0" borderId="0" xfId="0" applyFont="1" applyAlignment="1">
      <alignment horizontal="center" vertical="center"/>
    </xf>
    <xf numFmtId="0" fontId="72" fillId="0" borderId="13" xfId="0" applyFont="1" applyBorder="1" applyAlignment="1">
      <alignment vertical="center" wrapText="1"/>
    </xf>
    <xf numFmtId="0" fontId="73" fillId="0" borderId="0" xfId="0" applyFont="1" applyAlignment="1">
      <alignment vertical="center"/>
    </xf>
    <xf numFmtId="0" fontId="6" fillId="31" borderId="17" xfId="355" applyFont="1" applyFill="1" applyBorder="1" applyAlignment="1" applyProtection="1">
      <alignment horizontal="center" vertical="center" wrapText="1"/>
    </xf>
    <xf numFmtId="0" fontId="6" fillId="32" borderId="17" xfId="355" applyFont="1" applyFill="1" applyBorder="1" applyAlignment="1" applyProtection="1">
      <alignment horizontal="center" vertical="center"/>
      <protection locked="0"/>
    </xf>
    <xf numFmtId="0" fontId="3" fillId="0" borderId="13" xfId="355" applyFont="1" applyBorder="1" applyAlignment="1" applyProtection="1">
      <alignment vertical="center" wrapText="1"/>
    </xf>
    <xf numFmtId="0" fontId="3" fillId="0" borderId="13" xfId="355" applyFont="1" applyBorder="1" applyAlignment="1" applyProtection="1">
      <alignment vertical="center"/>
    </xf>
    <xf numFmtId="168" fontId="64" fillId="0" borderId="0" xfId="0" applyNumberFormat="1" applyFont="1" applyAlignment="1">
      <alignment vertical="center"/>
    </xf>
    <xf numFmtId="0" fontId="0" fillId="0" borderId="0" xfId="0" applyAlignment="1">
      <alignment horizontal="center" vertical="center"/>
    </xf>
    <xf numFmtId="0" fontId="6" fillId="34" borderId="13" xfId="0" applyFont="1" applyFill="1" applyBorder="1" applyAlignment="1">
      <alignment horizontal="left" vertical="center" wrapText="1"/>
    </xf>
    <xf numFmtId="171" fontId="6" fillId="34" borderId="13" xfId="216" applyNumberFormat="1" applyFont="1" applyFill="1" applyBorder="1" applyAlignment="1">
      <alignment horizontal="center" vertical="center" wrapText="1"/>
    </xf>
    <xf numFmtId="0" fontId="3" fillId="34" borderId="13" xfId="0" applyFont="1" applyFill="1" applyBorder="1" applyAlignment="1">
      <alignment horizontal="center" vertical="center" wrapText="1"/>
    </xf>
    <xf numFmtId="0" fontId="69" fillId="34" borderId="13" xfId="0" applyFont="1" applyFill="1" applyBorder="1" applyAlignment="1">
      <alignment vertical="center"/>
    </xf>
    <xf numFmtId="0" fontId="3" fillId="34" borderId="13" xfId="355" applyFont="1" applyFill="1" applyBorder="1" applyAlignment="1" applyProtection="1">
      <alignment vertical="center"/>
    </xf>
    <xf numFmtId="0" fontId="0" fillId="0" borderId="13" xfId="0" applyBorder="1"/>
    <xf numFmtId="0" fontId="6" fillId="33" borderId="13" xfId="0" applyFont="1" applyFill="1" applyBorder="1" applyAlignment="1">
      <alignment horizontal="left" vertical="center" wrapText="1"/>
    </xf>
    <xf numFmtId="171" fontId="6" fillId="33" borderId="13" xfId="216" applyNumberFormat="1" applyFont="1" applyFill="1" applyBorder="1" applyAlignment="1">
      <alignment horizontal="center" vertical="center" wrapText="1"/>
    </xf>
    <xf numFmtId="0" fontId="6" fillId="33" borderId="13" xfId="0" applyFont="1" applyFill="1" applyBorder="1" applyAlignment="1">
      <alignment horizontal="center" vertical="center" wrapText="1"/>
    </xf>
    <xf numFmtId="0" fontId="69" fillId="33" borderId="13" xfId="0" applyFont="1" applyFill="1" applyBorder="1" applyAlignment="1">
      <alignment vertical="center" wrapText="1"/>
    </xf>
    <xf numFmtId="0" fontId="3" fillId="33" borderId="13" xfId="355" applyFont="1" applyFill="1" applyBorder="1" applyAlignment="1" applyProtection="1">
      <alignment vertical="center"/>
    </xf>
    <xf numFmtId="171" fontId="3" fillId="0" borderId="13" xfId="216" applyNumberFormat="1" applyFont="1" applyBorder="1" applyAlignment="1">
      <alignment horizontal="center" vertical="center" wrapText="1"/>
    </xf>
    <xf numFmtId="17" fontId="3" fillId="0" borderId="13" xfId="355" applyNumberFormat="1" applyFont="1" applyBorder="1" applyAlignment="1" applyProtection="1">
      <alignment vertical="center"/>
    </xf>
    <xf numFmtId="0" fontId="3" fillId="0" borderId="16" xfId="355" applyFont="1" applyBorder="1" applyAlignment="1" applyProtection="1">
      <alignment vertical="center" wrapText="1"/>
    </xf>
    <xf numFmtId="0" fontId="3" fillId="33" borderId="13" xfId="0" applyFont="1" applyFill="1" applyBorder="1" applyAlignment="1">
      <alignment horizontal="center" vertical="center" wrapText="1"/>
    </xf>
    <xf numFmtId="0" fontId="3" fillId="33" borderId="13" xfId="355" applyFont="1" applyFill="1" applyBorder="1" applyAlignment="1" applyProtection="1">
      <alignment vertical="center"/>
      <protection locked="0"/>
    </xf>
    <xf numFmtId="15" fontId="69" fillId="0" borderId="13" xfId="0" applyNumberFormat="1" applyFont="1" applyBorder="1" applyAlignment="1">
      <alignment vertical="center"/>
    </xf>
    <xf numFmtId="171" fontId="6" fillId="33" borderId="13" xfId="216" applyNumberFormat="1" applyFont="1" applyFill="1" applyBorder="1" applyAlignment="1">
      <alignment horizontal="right" vertical="center" wrapText="1"/>
    </xf>
    <xf numFmtId="0" fontId="37" fillId="33" borderId="13" xfId="0" applyFont="1" applyFill="1" applyBorder="1" applyAlignment="1">
      <alignment horizontal="justify" vertical="center" wrapText="1"/>
    </xf>
    <xf numFmtId="0" fontId="70" fillId="33" borderId="13" xfId="0" applyFont="1" applyFill="1" applyBorder="1" applyAlignment="1">
      <alignment horizontal="center" vertical="center"/>
    </xf>
    <xf numFmtId="0" fontId="69" fillId="33" borderId="13" xfId="0" applyFont="1" applyFill="1" applyBorder="1" applyAlignment="1">
      <alignment vertical="justify"/>
    </xf>
    <xf numFmtId="0" fontId="70" fillId="33" borderId="13" xfId="0" applyFont="1" applyFill="1" applyBorder="1" applyAlignment="1">
      <alignment vertical="center"/>
    </xf>
    <xf numFmtId="171" fontId="6" fillId="0" borderId="13" xfId="216" applyNumberFormat="1" applyFont="1" applyBorder="1" applyAlignment="1">
      <alignment horizontal="right" vertical="center" wrapText="1"/>
    </xf>
    <xf numFmtId="0" fontId="37" fillId="0" borderId="13" xfId="0" applyFont="1" applyBorder="1" applyAlignment="1">
      <alignment horizontal="left" vertical="center" wrapText="1"/>
    </xf>
    <xf numFmtId="171" fontId="3" fillId="0" borderId="13" xfId="216" applyNumberFormat="1" applyFont="1" applyBorder="1" applyAlignment="1">
      <alignment horizontal="right" vertical="center" wrapText="1"/>
    </xf>
    <xf numFmtId="17" fontId="69" fillId="0" borderId="13" xfId="0" applyNumberFormat="1" applyFont="1" applyBorder="1" applyAlignment="1">
      <alignment vertical="center"/>
    </xf>
    <xf numFmtId="0" fontId="70" fillId="33" borderId="13" xfId="0" applyFont="1" applyFill="1" applyBorder="1" applyAlignment="1">
      <alignment horizontal="left" vertical="center" wrapText="1"/>
    </xf>
    <xf numFmtId="0" fontId="69" fillId="33" borderId="13" xfId="0" applyFont="1" applyFill="1" applyBorder="1" applyAlignment="1">
      <alignment wrapText="1"/>
    </xf>
    <xf numFmtId="17" fontId="69" fillId="33" borderId="13" xfId="0" applyNumberFormat="1" applyFont="1" applyFill="1" applyBorder="1" applyAlignment="1">
      <alignment vertical="center"/>
    </xf>
    <xf numFmtId="17" fontId="3" fillId="33" borderId="13" xfId="355" applyNumberFormat="1" applyFont="1" applyFill="1" applyBorder="1" applyAlignment="1" applyProtection="1">
      <alignment vertical="center"/>
    </xf>
    <xf numFmtId="0" fontId="3" fillId="0" borderId="13" xfId="355" applyFont="1" applyBorder="1" applyAlignment="1" applyProtection="1">
      <alignment horizontal="left" vertical="center" wrapText="1"/>
      <protection locked="0"/>
    </xf>
    <xf numFmtId="0" fontId="69" fillId="0" borderId="13" xfId="0" applyFont="1" applyBorder="1" applyAlignment="1">
      <alignment wrapText="1"/>
    </xf>
    <xf numFmtId="0" fontId="69" fillId="33" borderId="13" xfId="0" applyFont="1" applyFill="1" applyBorder="1" applyAlignment="1">
      <alignment vertical="center"/>
    </xf>
    <xf numFmtId="171" fontId="0" fillId="35" borderId="0" xfId="0" applyNumberFormat="1" applyFill="1"/>
    <xf numFmtId="0" fontId="2" fillId="0" borderId="0" xfId="355" applyAlignment="1" applyProtection="1">
      <alignment vertical="center"/>
    </xf>
    <xf numFmtId="0" fontId="74" fillId="26" borderId="0" xfId="355" applyFont="1" applyFill="1" applyAlignment="1" applyProtection="1">
      <alignment horizontal="centerContinuous" vertical="center"/>
    </xf>
    <xf numFmtId="0" fontId="6" fillId="31" borderId="13" xfId="355" applyFont="1" applyFill="1" applyBorder="1" applyAlignment="1" applyProtection="1">
      <alignment horizontal="center" vertical="center" wrapText="1"/>
    </xf>
    <xf numFmtId="0" fontId="5" fillId="32" borderId="13" xfId="355" applyFont="1" applyFill="1" applyBorder="1" applyAlignment="1" applyProtection="1">
      <alignment horizontal="center" vertical="center"/>
      <protection locked="0"/>
    </xf>
    <xf numFmtId="168" fontId="2" fillId="0" borderId="13" xfId="355" applyNumberFormat="1" applyBorder="1" applyAlignment="1" applyProtection="1">
      <alignment vertical="center"/>
    </xf>
    <xf numFmtId="0" fontId="2" fillId="0" borderId="13" xfId="355" applyBorder="1" applyAlignment="1" applyProtection="1">
      <alignment vertical="center"/>
    </xf>
    <xf numFmtId="49" fontId="44" fillId="0" borderId="12" xfId="355" applyNumberFormat="1" applyFont="1" applyFill="1" applyBorder="1" applyAlignment="1" applyProtection="1">
      <alignment vertical="center" wrapText="1"/>
      <protection locked="0"/>
    </xf>
    <xf numFmtId="168" fontId="2" fillId="0" borderId="13" xfId="355" applyNumberFormat="1" applyFont="1" applyBorder="1" applyAlignment="1" applyProtection="1">
      <alignment vertical="center"/>
    </xf>
    <xf numFmtId="0" fontId="2" fillId="0" borderId="13" xfId="355" applyBorder="1" applyAlignment="1" applyProtection="1">
      <alignment horizontal="center" vertical="center"/>
    </xf>
    <xf numFmtId="168" fontId="2" fillId="0" borderId="13" xfId="355" applyNumberFormat="1" applyFill="1" applyBorder="1" applyAlignment="1" applyProtection="1">
      <alignment vertical="center"/>
    </xf>
    <xf numFmtId="49" fontId="41" fillId="0" borderId="12" xfId="355" applyNumberFormat="1" applyFont="1" applyFill="1" applyBorder="1" applyAlignment="1" applyProtection="1">
      <alignment horizontal="left" vertical="center" wrapText="1"/>
      <protection locked="0"/>
    </xf>
    <xf numFmtId="49" fontId="41" fillId="0" borderId="13" xfId="355" applyNumberFormat="1" applyFont="1" applyFill="1" applyBorder="1" applyAlignment="1" applyProtection="1">
      <alignment vertical="center" wrapText="1"/>
      <protection locked="0"/>
    </xf>
    <xf numFmtId="17" fontId="2" fillId="0" borderId="13" xfId="355" applyNumberFormat="1" applyBorder="1" applyAlignment="1" applyProtection="1">
      <alignment horizontal="center" vertical="center"/>
    </xf>
    <xf numFmtId="49" fontId="41" fillId="26" borderId="12" xfId="355" applyNumberFormat="1" applyFont="1" applyFill="1" applyBorder="1" applyAlignment="1" applyProtection="1">
      <alignment horizontal="left" vertical="center" wrapText="1"/>
      <protection locked="0"/>
    </xf>
    <xf numFmtId="49" fontId="40" fillId="0" borderId="13" xfId="355" applyNumberFormat="1" applyFont="1" applyFill="1" applyBorder="1" applyAlignment="1" applyProtection="1">
      <alignment vertical="center" wrapText="1"/>
      <protection locked="0"/>
    </xf>
    <xf numFmtId="0" fontId="41" fillId="0" borderId="13" xfId="355" applyNumberFormat="1" applyFont="1" applyFill="1" applyBorder="1" applyAlignment="1" applyProtection="1">
      <alignment vertical="center" wrapText="1"/>
      <protection locked="0"/>
    </xf>
    <xf numFmtId="17" fontId="2" fillId="36" borderId="13" xfId="355" applyNumberFormat="1" applyFill="1" applyBorder="1" applyAlignment="1" applyProtection="1">
      <alignment horizontal="center" vertical="center" wrapText="1"/>
    </xf>
    <xf numFmtId="49" fontId="41" fillId="0" borderId="13" xfId="355" applyNumberFormat="1" applyFont="1" applyFill="1" applyBorder="1" applyAlignment="1" applyProtection="1">
      <alignment horizontal="left" vertical="center" wrapText="1"/>
      <protection locked="0"/>
    </xf>
    <xf numFmtId="17" fontId="2" fillId="0" borderId="13" xfId="355" applyNumberFormat="1" applyBorder="1" applyAlignment="1" applyProtection="1">
      <alignment vertical="center"/>
    </xf>
    <xf numFmtId="0" fontId="2" fillId="0" borderId="13" xfId="355" applyBorder="1" applyAlignment="1" applyProtection="1">
      <alignment horizontal="center" vertical="center"/>
      <protection locked="0"/>
    </xf>
    <xf numFmtId="0" fontId="2" fillId="0" borderId="13" xfId="355" applyBorder="1" applyAlignment="1" applyProtection="1">
      <alignment vertical="center"/>
      <protection locked="0"/>
    </xf>
    <xf numFmtId="168" fontId="2" fillId="0" borderId="13" xfId="355" applyNumberFormat="1" applyBorder="1" applyAlignment="1" applyProtection="1">
      <alignment vertical="center"/>
      <protection locked="0"/>
    </xf>
    <xf numFmtId="17" fontId="2" fillId="0" borderId="13" xfId="355" applyNumberFormat="1" applyBorder="1" applyAlignment="1" applyProtection="1">
      <alignment horizontal="center" vertical="center" wrapText="1"/>
    </xf>
    <xf numFmtId="0" fontId="2" fillId="0" borderId="13" xfId="355" applyFont="1" applyBorder="1" applyAlignment="1" applyProtection="1">
      <alignment vertical="center"/>
    </xf>
    <xf numFmtId="17" fontId="2" fillId="0" borderId="13" xfId="355" applyNumberFormat="1" applyBorder="1" applyAlignment="1" applyProtection="1">
      <alignment vertical="center"/>
      <protection locked="0"/>
    </xf>
    <xf numFmtId="49" fontId="41" fillId="0" borderId="26" xfId="355" applyNumberFormat="1" applyFont="1" applyFill="1" applyBorder="1" applyAlignment="1" applyProtection="1">
      <alignment horizontal="left" vertical="center" wrapText="1"/>
      <protection locked="0"/>
    </xf>
    <xf numFmtId="0" fontId="2" fillId="0" borderId="16" xfId="355" applyBorder="1" applyAlignment="1" applyProtection="1">
      <alignment vertical="center"/>
    </xf>
    <xf numFmtId="49" fontId="41" fillId="0" borderId="27" xfId="0" applyNumberFormat="1" applyFont="1" applyFill="1" applyBorder="1" applyAlignment="1" applyProtection="1">
      <alignment horizontal="left" wrapText="1" indent="1"/>
    </xf>
    <xf numFmtId="173" fontId="41" fillId="0" borderId="27" xfId="0" applyNumberFormat="1" applyFont="1" applyFill="1" applyBorder="1" applyAlignment="1">
      <alignment horizontal="right"/>
    </xf>
    <xf numFmtId="49" fontId="41" fillId="0" borderId="28" xfId="0" applyNumberFormat="1" applyFont="1" applyFill="1" applyBorder="1" applyAlignment="1" applyProtection="1">
      <alignment horizontal="left" wrapText="1" indent="1"/>
    </xf>
    <xf numFmtId="173" fontId="41" fillId="0" borderId="13" xfId="355" applyNumberFormat="1" applyFont="1" applyFill="1" applyBorder="1" applyAlignment="1">
      <alignment horizontal="right" vertical="center"/>
    </xf>
    <xf numFmtId="173" fontId="41" fillId="0" borderId="13" xfId="0" applyNumberFormat="1" applyFont="1" applyFill="1" applyBorder="1" applyAlignment="1">
      <alignment horizontal="right"/>
    </xf>
    <xf numFmtId="17" fontId="2" fillId="0" borderId="13" xfId="355" applyNumberFormat="1" applyFill="1" applyBorder="1" applyAlignment="1" applyProtection="1">
      <alignment vertical="center"/>
    </xf>
    <xf numFmtId="49" fontId="41" fillId="36" borderId="27" xfId="0" applyNumberFormat="1" applyFont="1" applyFill="1" applyBorder="1" applyAlignment="1" applyProtection="1">
      <alignment horizontal="left" wrapText="1" indent="1"/>
    </xf>
    <xf numFmtId="49" fontId="41" fillId="36" borderId="13" xfId="355" applyNumberFormat="1" applyFont="1" applyFill="1" applyBorder="1" applyAlignment="1" applyProtection="1">
      <alignment horizontal="left" vertical="center" wrapText="1"/>
    </xf>
    <xf numFmtId="49" fontId="41" fillId="0" borderId="16" xfId="355" applyNumberFormat="1" applyFont="1" applyFill="1" applyBorder="1" applyAlignment="1" applyProtection="1">
      <alignment horizontal="left" vertical="center" wrapText="1"/>
    </xf>
    <xf numFmtId="49" fontId="41" fillId="0" borderId="13" xfId="355" applyNumberFormat="1" applyFont="1" applyFill="1" applyBorder="1" applyAlignment="1" applyProtection="1">
      <alignment horizontal="left" vertical="center" wrapText="1"/>
    </xf>
    <xf numFmtId="0" fontId="75" fillId="0" borderId="0" xfId="0" applyFont="1" applyAlignment="1">
      <alignment horizontal="center" vertical="center" wrapText="1"/>
    </xf>
    <xf numFmtId="0" fontId="75" fillId="0" borderId="13" xfId="0" applyFont="1" applyBorder="1" applyAlignment="1">
      <alignment horizontal="center" vertical="center" wrapText="1"/>
    </xf>
    <xf numFmtId="0" fontId="6" fillId="33" borderId="13" xfId="348" applyFont="1" applyFill="1" applyBorder="1" applyAlignment="1">
      <alignment horizontal="center" vertical="center" wrapText="1"/>
    </xf>
    <xf numFmtId="3" fontId="6" fillId="33" borderId="13" xfId="428" applyNumberFormat="1" applyFont="1" applyFill="1" applyBorder="1" applyAlignment="1">
      <alignment horizontal="center" vertical="center" wrapText="1"/>
    </xf>
    <xf numFmtId="3" fontId="5" fillId="33" borderId="13" xfId="428" applyNumberFormat="1" applyFont="1" applyFill="1" applyBorder="1" applyAlignment="1">
      <alignment horizontal="center" vertical="top" wrapText="1"/>
    </xf>
    <xf numFmtId="0" fontId="7" fillId="33" borderId="13" xfId="428" applyFont="1" applyFill="1" applyBorder="1" applyAlignment="1">
      <alignment horizontal="center" vertical="center"/>
    </xf>
    <xf numFmtId="0" fontId="8" fillId="33" borderId="13" xfId="428" applyFont="1" applyFill="1" applyBorder="1" applyAlignment="1">
      <alignment horizontal="center" vertical="center"/>
    </xf>
    <xf numFmtId="3" fontId="3" fillId="26" borderId="13" xfId="428" applyNumberFormat="1" applyFont="1" applyFill="1" applyBorder="1" applyAlignment="1">
      <alignment horizontal="center" vertical="center" wrapText="1"/>
    </xf>
    <xf numFmtId="0" fontId="72" fillId="0" borderId="13" xfId="0" applyFont="1" applyBorder="1" applyAlignment="1">
      <alignment horizontal="center" vertical="center" wrapText="1"/>
    </xf>
    <xf numFmtId="0" fontId="13" fillId="26" borderId="13" xfId="428" applyFont="1" applyFill="1" applyBorder="1" applyAlignment="1">
      <alignment horizontal="center" vertical="center"/>
    </xf>
    <xf numFmtId="0" fontId="4" fillId="26" borderId="13" xfId="428" applyFont="1" applyFill="1" applyBorder="1" applyAlignment="1">
      <alignment horizontal="center" vertical="center"/>
    </xf>
    <xf numFmtId="0" fontId="4" fillId="0" borderId="13" xfId="428" applyFont="1" applyFill="1" applyBorder="1" applyAlignment="1">
      <alignment horizontal="center" vertical="center"/>
    </xf>
    <xf numFmtId="0" fontId="72" fillId="26" borderId="13" xfId="0" applyFont="1" applyFill="1" applyBorder="1" applyAlignment="1">
      <alignment horizontal="center" vertical="center" wrapText="1"/>
    </xf>
    <xf numFmtId="3" fontId="2" fillId="26" borderId="13" xfId="428" applyNumberFormat="1" applyFont="1" applyFill="1" applyBorder="1" applyAlignment="1">
      <alignment horizontal="center" vertical="top" wrapText="1"/>
    </xf>
    <xf numFmtId="3" fontId="2" fillId="26" borderId="13" xfId="428" applyNumberFormat="1" applyFont="1" applyFill="1" applyBorder="1" applyAlignment="1">
      <alignment horizontal="center" vertical="center" wrapText="1"/>
    </xf>
    <xf numFmtId="3" fontId="13" fillId="26" borderId="13" xfId="428" applyNumberFormat="1" applyFont="1" applyFill="1" applyBorder="1" applyAlignment="1">
      <alignment horizontal="center" vertical="center"/>
    </xf>
    <xf numFmtId="0" fontId="72" fillId="0" borderId="29" xfId="0" applyFont="1" applyBorder="1" applyAlignment="1">
      <alignment horizontal="center" vertical="center" wrapText="1"/>
    </xf>
    <xf numFmtId="0" fontId="76" fillId="33" borderId="13" xfId="0" applyFont="1" applyFill="1" applyBorder="1" applyAlignment="1">
      <alignment horizontal="center" vertical="center"/>
    </xf>
    <xf numFmtId="0" fontId="4" fillId="0" borderId="0" xfId="428" applyFont="1" applyFill="1" applyBorder="1" applyAlignment="1">
      <alignment vertical="center"/>
    </xf>
    <xf numFmtId="166" fontId="72" fillId="0" borderId="13" xfId="216" applyFont="1" applyBorder="1" applyAlignment="1">
      <alignment horizontal="center" vertical="center"/>
    </xf>
    <xf numFmtId="0" fontId="77" fillId="26" borderId="13" xfId="0" applyFont="1" applyFill="1" applyBorder="1" applyAlignment="1">
      <alignment horizontal="center" vertical="center"/>
    </xf>
    <xf numFmtId="170" fontId="2" fillId="0" borderId="13" xfId="143" applyNumberFormat="1" applyFont="1" applyBorder="1" applyAlignment="1">
      <alignment horizontal="center" vertical="center" wrapText="1"/>
    </xf>
    <xf numFmtId="174" fontId="46" fillId="0" borderId="13" xfId="347" applyFont="1" applyBorder="1" applyAlignment="1">
      <alignment horizontal="left" vertical="center" wrapText="1"/>
    </xf>
    <xf numFmtId="3" fontId="6" fillId="33" borderId="13" xfId="428" applyNumberFormat="1" applyFont="1" applyFill="1" applyBorder="1" applyAlignment="1">
      <alignment horizontal="center" vertical="top" wrapText="1"/>
    </xf>
    <xf numFmtId="3" fontId="5" fillId="33" borderId="13" xfId="428" applyNumberFormat="1" applyFont="1" applyFill="1" applyBorder="1" applyAlignment="1">
      <alignment horizontal="center" wrapText="1"/>
    </xf>
    <xf numFmtId="0" fontId="78" fillId="33" borderId="13" xfId="0" applyFont="1" applyFill="1" applyBorder="1" applyAlignment="1">
      <alignment horizontal="center" vertical="center"/>
    </xf>
    <xf numFmtId="3" fontId="2" fillId="26" borderId="13" xfId="428" applyNumberFormat="1" applyFont="1" applyFill="1" applyBorder="1" applyAlignment="1">
      <alignment horizontal="center" wrapText="1"/>
    </xf>
    <xf numFmtId="0" fontId="71" fillId="26" borderId="13" xfId="0" applyFont="1" applyFill="1" applyBorder="1" applyAlignment="1">
      <alignment horizontal="center" vertical="center"/>
    </xf>
    <xf numFmtId="0" fontId="72" fillId="0" borderId="13" xfId="0" applyFont="1" applyBorder="1" applyAlignment="1">
      <alignment horizontal="left" vertical="center" wrapText="1"/>
    </xf>
    <xf numFmtId="0" fontId="72" fillId="0" borderId="30" xfId="0" applyFont="1" applyBorder="1" applyAlignment="1">
      <alignment vertical="center" wrapText="1"/>
    </xf>
    <xf numFmtId="3" fontId="6" fillId="33" borderId="13" xfId="428" applyNumberFormat="1" applyFont="1" applyFill="1" applyBorder="1" applyAlignment="1">
      <alignment horizontal="left" vertical="center" wrapText="1"/>
    </xf>
    <xf numFmtId="3" fontId="7" fillId="33" borderId="13" xfId="428" applyNumberFormat="1" applyFont="1" applyFill="1" applyBorder="1" applyAlignment="1">
      <alignment horizontal="center" vertical="center"/>
    </xf>
    <xf numFmtId="0" fontId="3" fillId="0" borderId="13" xfId="348" applyFont="1" applyFill="1" applyBorder="1" applyAlignment="1">
      <alignment horizontal="center" vertical="center" wrapText="1"/>
    </xf>
    <xf numFmtId="3" fontId="79" fillId="33" borderId="13" xfId="428" applyNumberFormat="1" applyFont="1" applyFill="1" applyBorder="1" applyAlignment="1">
      <alignment horizontal="center" vertical="center"/>
    </xf>
    <xf numFmtId="3" fontId="3" fillId="26" borderId="13" xfId="428" applyNumberFormat="1" applyFont="1" applyFill="1" applyBorder="1" applyAlignment="1">
      <alignment horizontal="center" vertical="top" wrapText="1"/>
    </xf>
    <xf numFmtId="3" fontId="80" fillId="26" borderId="13" xfId="428" applyNumberFormat="1" applyFont="1" applyFill="1" applyBorder="1" applyAlignment="1">
      <alignment horizontal="center" vertical="center"/>
    </xf>
    <xf numFmtId="1" fontId="72" fillId="0" borderId="13" xfId="0" applyNumberFormat="1" applyFont="1" applyBorder="1" applyAlignment="1">
      <alignment horizontal="center" vertical="center"/>
    </xf>
    <xf numFmtId="3" fontId="6" fillId="33" borderId="13" xfId="428" applyNumberFormat="1" applyFont="1" applyFill="1" applyBorder="1" applyAlignment="1">
      <alignment horizontal="center" wrapText="1"/>
    </xf>
    <xf numFmtId="170" fontId="48" fillId="33" borderId="13" xfId="205" applyNumberFormat="1" applyFont="1" applyFill="1" applyBorder="1" applyAlignment="1">
      <alignment horizontal="center" vertical="center"/>
    </xf>
    <xf numFmtId="0" fontId="72" fillId="0" borderId="13" xfId="0" applyFont="1" applyBorder="1" applyAlignment="1">
      <alignment horizontal="center" vertical="center"/>
    </xf>
    <xf numFmtId="3" fontId="69" fillId="0" borderId="13" xfId="0" applyNumberFormat="1" applyFont="1" applyBorder="1" applyAlignment="1">
      <alignment horizontal="center" vertical="center"/>
    </xf>
    <xf numFmtId="3" fontId="6" fillId="33" borderId="13" xfId="428" applyNumberFormat="1" applyFont="1" applyFill="1" applyBorder="1" applyAlignment="1">
      <alignment horizontal="left" vertical="top" wrapText="1"/>
    </xf>
    <xf numFmtId="0" fontId="72" fillId="0" borderId="30" xfId="0" applyFont="1" applyBorder="1" applyAlignment="1">
      <alignment horizontal="center" vertical="center" wrapText="1"/>
    </xf>
    <xf numFmtId="0" fontId="64" fillId="33" borderId="13" xfId="0" applyFont="1" applyFill="1" applyBorder="1" applyAlignment="1">
      <alignment horizontal="center" vertical="center"/>
    </xf>
    <xf numFmtId="0" fontId="64" fillId="33" borderId="13" xfId="0" applyFont="1" applyFill="1" applyBorder="1" applyAlignment="1">
      <alignment horizontal="center"/>
    </xf>
    <xf numFmtId="3" fontId="5" fillId="33" borderId="13" xfId="428" applyNumberFormat="1" applyFont="1" applyFill="1" applyBorder="1" applyAlignment="1">
      <alignment horizontal="center" vertical="center" wrapText="1"/>
    </xf>
    <xf numFmtId="174" fontId="46" fillId="0" borderId="13" xfId="347" applyFont="1" applyBorder="1" applyAlignment="1">
      <alignment vertical="center" wrapText="1"/>
    </xf>
    <xf numFmtId="0" fontId="0" fillId="0" borderId="13" xfId="0" applyBorder="1" applyAlignment="1">
      <alignment horizontal="center" vertical="center" wrapText="1"/>
    </xf>
    <xf numFmtId="0" fontId="71" fillId="0" borderId="0" xfId="0" applyFont="1" applyAlignment="1">
      <alignment vertical="center"/>
    </xf>
    <xf numFmtId="0" fontId="70" fillId="33" borderId="20" xfId="0" applyFont="1" applyFill="1" applyBorder="1" applyAlignment="1">
      <alignment horizontal="center" vertical="center"/>
    </xf>
    <xf numFmtId="3" fontId="81" fillId="33" borderId="20" xfId="0" applyNumberFormat="1" applyFont="1" applyFill="1" applyBorder="1" applyAlignment="1">
      <alignment horizontal="center" vertical="center"/>
    </xf>
    <xf numFmtId="0" fontId="81" fillId="0" borderId="0" xfId="0" applyFont="1" applyAlignment="1">
      <alignment vertical="center"/>
    </xf>
    <xf numFmtId="0" fontId="5" fillId="0" borderId="13" xfId="0" applyFont="1" applyBorder="1" applyAlignment="1" applyProtection="1">
      <alignment horizontal="justify" vertical="center" wrapText="1"/>
    </xf>
    <xf numFmtId="171" fontId="7" fillId="0" borderId="13" xfId="212" applyNumberFormat="1"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2" fillId="0" borderId="13" xfId="355" applyFont="1" applyBorder="1" applyAlignment="1" applyProtection="1">
      <alignment horizontal="center" vertical="center"/>
    </xf>
    <xf numFmtId="0" fontId="72" fillId="0" borderId="20" xfId="0" applyFont="1" applyBorder="1"/>
    <xf numFmtId="0" fontId="72" fillId="0" borderId="0" xfId="0" applyFont="1"/>
    <xf numFmtId="0" fontId="50" fillId="0" borderId="13" xfId="0" applyFont="1" applyBorder="1" applyAlignment="1" applyProtection="1">
      <alignment vertical="center" wrapText="1"/>
    </xf>
    <xf numFmtId="3" fontId="15" fillId="0" borderId="13" xfId="0" applyNumberFormat="1" applyFont="1" applyBorder="1" applyAlignment="1" applyProtection="1">
      <alignment vertical="center" wrapText="1"/>
    </xf>
    <xf numFmtId="0" fontId="82" fillId="0" borderId="13" xfId="0" applyFont="1" applyBorder="1" applyAlignment="1" applyProtection="1">
      <alignment horizontal="center" vertical="center" wrapText="1"/>
    </xf>
    <xf numFmtId="0" fontId="83" fillId="0" borderId="13" xfId="0" applyFont="1" applyBorder="1" applyAlignment="1" applyProtection="1">
      <alignment vertical="center" wrapText="1"/>
    </xf>
    <xf numFmtId="0" fontId="72" fillId="0" borderId="13" xfId="0" applyFont="1" applyBorder="1"/>
    <xf numFmtId="0" fontId="4" fillId="0" borderId="13" xfId="0" applyFont="1" applyBorder="1" applyAlignment="1" applyProtection="1">
      <alignment horizontal="justify" vertical="center" wrapText="1"/>
    </xf>
    <xf numFmtId="0" fontId="4" fillId="37" borderId="13" xfId="427" applyFont="1" applyFill="1" applyBorder="1" applyAlignment="1" applyProtection="1">
      <alignment horizontal="left" vertical="center" wrapText="1"/>
    </xf>
    <xf numFmtId="0" fontId="4" fillId="0" borderId="13" xfId="355" applyFont="1" applyBorder="1" applyAlignment="1" applyProtection="1">
      <alignment horizontal="center" vertical="center"/>
    </xf>
    <xf numFmtId="0" fontId="4" fillId="0" borderId="13" xfId="355" applyFont="1" applyBorder="1" applyAlignment="1" applyProtection="1">
      <alignment vertical="center"/>
    </xf>
    <xf numFmtId="43" fontId="2" fillId="0" borderId="13" xfId="143" applyFont="1" applyBorder="1" applyAlignment="1" applyProtection="1">
      <alignment horizontal="center" vertical="center"/>
    </xf>
    <xf numFmtId="43" fontId="2" fillId="0" borderId="13" xfId="143" applyFont="1" applyBorder="1" applyAlignment="1" applyProtection="1">
      <alignment horizontal="center" vertical="center" wrapText="1"/>
    </xf>
    <xf numFmtId="0" fontId="82" fillId="26" borderId="13" xfId="0" applyFont="1" applyFill="1" applyBorder="1" applyAlignment="1" applyProtection="1">
      <alignment horizontal="center" vertical="center" wrapText="1"/>
    </xf>
    <xf numFmtId="0" fontId="83" fillId="26" borderId="13" xfId="0" applyFont="1" applyFill="1" applyBorder="1" applyAlignment="1" applyProtection="1">
      <alignment vertical="center" wrapText="1"/>
    </xf>
    <xf numFmtId="3" fontId="15" fillId="26" borderId="13" xfId="0" applyNumberFormat="1" applyFont="1" applyFill="1" applyBorder="1" applyAlignment="1" applyProtection="1">
      <alignment horizontal="right" vertical="center"/>
    </xf>
    <xf numFmtId="4" fontId="2" fillId="0" borderId="13" xfId="355" applyNumberFormat="1" applyBorder="1" applyAlignment="1" applyProtection="1">
      <alignment horizontal="center" vertical="center"/>
    </xf>
    <xf numFmtId="4" fontId="2" fillId="0" borderId="13" xfId="355" applyNumberFormat="1" applyFont="1" applyBorder="1" applyAlignment="1" applyProtection="1">
      <alignment vertical="center" wrapText="1"/>
    </xf>
    <xf numFmtId="0" fontId="2" fillId="0" borderId="13" xfId="355" applyFont="1" applyBorder="1" applyAlignment="1" applyProtection="1">
      <alignment horizontal="center" vertical="center"/>
      <protection locked="0"/>
    </xf>
    <xf numFmtId="14" fontId="2" fillId="0" borderId="13" xfId="355" applyNumberFormat="1" applyFont="1" applyBorder="1" applyAlignment="1" applyProtection="1">
      <alignment vertical="center"/>
      <protection locked="0"/>
    </xf>
    <xf numFmtId="4" fontId="2" fillId="0" borderId="13" xfId="355" applyNumberFormat="1" applyFont="1" applyBorder="1" applyAlignment="1" applyProtection="1">
      <alignment vertical="center"/>
      <protection locked="0"/>
    </xf>
    <xf numFmtId="3" fontId="38" fillId="26" borderId="13" xfId="0" applyNumberFormat="1" applyFont="1" applyFill="1" applyBorder="1" applyAlignment="1" applyProtection="1">
      <alignment horizontal="right" vertical="center"/>
    </xf>
    <xf numFmtId="0" fontId="2" fillId="37" borderId="13" xfId="427" applyFont="1" applyFill="1" applyBorder="1" applyAlignment="1" applyProtection="1">
      <alignment horizontal="left" vertical="center" wrapText="1"/>
    </xf>
    <xf numFmtId="167" fontId="4" fillId="0" borderId="13" xfId="143" applyNumberFormat="1" applyFont="1" applyBorder="1" applyAlignment="1" applyProtection="1">
      <alignment horizontal="center" vertical="center"/>
    </xf>
    <xf numFmtId="167" fontId="2" fillId="0" borderId="13" xfId="143" applyNumberFormat="1" applyFont="1" applyBorder="1" applyAlignment="1" applyProtection="1">
      <alignment horizontal="center" vertical="center"/>
    </xf>
    <xf numFmtId="167" fontId="2" fillId="0" borderId="13" xfId="143" applyNumberFormat="1" applyFont="1" applyBorder="1" applyAlignment="1" applyProtection="1">
      <alignment horizontal="center" vertical="center"/>
      <protection locked="0"/>
    </xf>
    <xf numFmtId="0" fontId="50" fillId="26" borderId="13" xfId="0" applyFont="1" applyFill="1" applyBorder="1" applyAlignment="1" applyProtection="1">
      <alignment vertical="center" wrapText="1"/>
    </xf>
    <xf numFmtId="0" fontId="2" fillId="26" borderId="13" xfId="355" applyFont="1" applyFill="1" applyBorder="1" applyAlignment="1" applyProtection="1">
      <alignment horizontal="center" vertical="center"/>
    </xf>
    <xf numFmtId="0" fontId="2" fillId="26" borderId="13" xfId="355" applyFont="1" applyFill="1" applyBorder="1" applyAlignment="1" applyProtection="1">
      <alignment vertical="center"/>
      <protection locked="0"/>
    </xf>
    <xf numFmtId="167" fontId="2" fillId="26" borderId="13" xfId="143" applyNumberFormat="1" applyFont="1" applyFill="1" applyBorder="1" applyAlignment="1" applyProtection="1">
      <alignment horizontal="center" vertical="center"/>
      <protection locked="0"/>
    </xf>
    <xf numFmtId="0" fontId="2" fillId="26" borderId="13" xfId="355" applyFill="1" applyBorder="1" applyAlignment="1" applyProtection="1">
      <alignment vertical="center" wrapText="1"/>
    </xf>
    <xf numFmtId="14" fontId="4" fillId="26" borderId="13" xfId="355" applyNumberFormat="1" applyFont="1" applyFill="1" applyBorder="1" applyAlignment="1" applyProtection="1">
      <alignment horizontal="center" vertical="center"/>
      <protection locked="0"/>
    </xf>
    <xf numFmtId="167" fontId="4" fillId="26" borderId="13" xfId="143" applyNumberFormat="1" applyFont="1" applyFill="1" applyBorder="1" applyAlignment="1" applyProtection="1">
      <alignment horizontal="center" vertical="center"/>
    </xf>
    <xf numFmtId="0" fontId="84" fillId="26" borderId="13" xfId="0" applyFont="1" applyFill="1" applyBorder="1" applyAlignment="1" applyProtection="1">
      <alignment vertical="center" wrapText="1"/>
    </xf>
    <xf numFmtId="0" fontId="85" fillId="32" borderId="13" xfId="355" applyFont="1" applyFill="1" applyBorder="1" applyAlignment="1" applyProtection="1">
      <alignment horizontal="center" vertical="center"/>
      <protection locked="0"/>
    </xf>
    <xf numFmtId="3" fontId="85" fillId="32" borderId="13" xfId="355" applyNumberFormat="1" applyFont="1" applyFill="1" applyBorder="1" applyAlignment="1" applyProtection="1">
      <alignment horizontal="center" vertical="center"/>
      <protection locked="0"/>
    </xf>
    <xf numFmtId="3" fontId="85" fillId="32" borderId="16" xfId="355" applyNumberFormat="1" applyFont="1" applyFill="1" applyBorder="1" applyAlignment="1" applyProtection="1">
      <alignment horizontal="center" vertical="center"/>
      <protection locked="0"/>
    </xf>
    <xf numFmtId="1" fontId="63" fillId="0" borderId="0" xfId="0" applyNumberFormat="1" applyFont="1"/>
    <xf numFmtId="0" fontId="57" fillId="38" borderId="13" xfId="0" applyFont="1" applyFill="1" applyBorder="1" applyAlignment="1">
      <alignment horizontal="left" vertical="center" wrapText="1"/>
    </xf>
    <xf numFmtId="3" fontId="57" fillId="38" borderId="13" xfId="0" applyNumberFormat="1" applyFont="1" applyFill="1" applyBorder="1" applyAlignment="1">
      <alignment horizontal="right" vertical="center"/>
    </xf>
    <xf numFmtId="3" fontId="55" fillId="38" borderId="13" xfId="0" applyNumberFormat="1" applyFont="1" applyFill="1" applyBorder="1"/>
    <xf numFmtId="0" fontId="55" fillId="38" borderId="13" xfId="0" applyFont="1" applyFill="1" applyBorder="1" applyAlignment="1">
      <alignment horizontal="center" vertical="center"/>
    </xf>
    <xf numFmtId="0" fontId="55" fillId="38" borderId="13" xfId="0" applyFont="1" applyFill="1" applyBorder="1"/>
    <xf numFmtId="0" fontId="55" fillId="38" borderId="13" xfId="0" applyFont="1" applyFill="1" applyBorder="1" applyAlignment="1">
      <alignment horizontal="right" vertical="center"/>
    </xf>
    <xf numFmtId="3" fontId="55" fillId="38" borderId="13" xfId="0" applyNumberFormat="1" applyFont="1" applyFill="1" applyBorder="1" applyAlignment="1">
      <alignment horizontal="right" vertical="center"/>
    </xf>
    <xf numFmtId="3" fontId="55" fillId="38" borderId="16" xfId="0" applyNumberFormat="1" applyFont="1" applyFill="1" applyBorder="1" applyAlignment="1">
      <alignment horizontal="right" vertical="center"/>
    </xf>
    <xf numFmtId="0" fontId="63" fillId="0" borderId="0" xfId="0" applyFont="1"/>
    <xf numFmtId="1" fontId="0" fillId="0" borderId="0" xfId="0" applyNumberFormat="1"/>
    <xf numFmtId="0" fontId="64" fillId="0" borderId="13" xfId="0" applyFont="1" applyBorder="1" applyAlignment="1">
      <alignment horizontal="left" vertical="center" wrapText="1"/>
    </xf>
    <xf numFmtId="3" fontId="64" fillId="0" borderId="13" xfId="0" applyNumberFormat="1" applyFont="1" applyBorder="1" applyAlignment="1">
      <alignment horizontal="right" vertical="center"/>
    </xf>
    <xf numFmtId="3" fontId="86" fillId="0" borderId="13" xfId="0" applyNumberFormat="1" applyFont="1" applyBorder="1" applyAlignment="1">
      <alignment horizontal="center" vertical="center"/>
    </xf>
    <xf numFmtId="0" fontId="86" fillId="0" borderId="13" xfId="0" applyFont="1" applyBorder="1" applyAlignment="1">
      <alignment horizontal="left" vertical="top"/>
    </xf>
    <xf numFmtId="173" fontId="86" fillId="0" borderId="13" xfId="0" applyNumberFormat="1" applyFont="1" applyBorder="1" applyAlignment="1">
      <alignment horizontal="right" vertical="center"/>
    </xf>
    <xf numFmtId="0" fontId="86" fillId="0" borderId="13" xfId="0" applyFont="1" applyBorder="1" applyAlignment="1">
      <alignment horizontal="center" vertical="center"/>
    </xf>
    <xf numFmtId="0" fontId="86" fillId="0" borderId="13" xfId="0" applyFont="1" applyBorder="1"/>
    <xf numFmtId="3" fontId="86" fillId="0" borderId="13" xfId="0" applyNumberFormat="1" applyFont="1" applyBorder="1" applyAlignment="1">
      <alignment horizontal="right" vertical="center"/>
    </xf>
    <xf numFmtId="173" fontId="86" fillId="0" borderId="16" xfId="0" applyNumberFormat="1" applyFont="1" applyBorder="1" applyAlignment="1">
      <alignment horizontal="right" vertical="center"/>
    </xf>
    <xf numFmtId="3" fontId="85" fillId="0" borderId="13" xfId="0" applyNumberFormat="1" applyFont="1" applyBorder="1" applyAlignment="1">
      <alignment horizontal="right" vertical="center"/>
    </xf>
    <xf numFmtId="1" fontId="86" fillId="0" borderId="0" xfId="0" applyNumberFormat="1" applyFont="1"/>
    <xf numFmtId="3" fontId="88" fillId="0" borderId="13" xfId="0" applyNumberFormat="1" applyFont="1" applyBorder="1" applyAlignment="1">
      <alignment horizontal="right" vertical="center"/>
    </xf>
    <xf numFmtId="0" fontId="88" fillId="0" borderId="13" xfId="0" applyFont="1" applyBorder="1" applyAlignment="1">
      <alignment horizontal="left" vertical="top" wrapText="1"/>
    </xf>
    <xf numFmtId="15" fontId="86" fillId="0" borderId="13" xfId="0" applyNumberFormat="1" applyFont="1" applyBorder="1" applyAlignment="1">
      <alignment horizontal="center" vertical="center"/>
    </xf>
    <xf numFmtId="0" fontId="86" fillId="0" borderId="0" xfId="0" applyFont="1"/>
    <xf numFmtId="0" fontId="64" fillId="0" borderId="13" xfId="0" applyFont="1" applyFill="1" applyBorder="1" applyAlignment="1">
      <alignment horizontal="left" vertical="center" wrapText="1"/>
    </xf>
    <xf numFmtId="3" fontId="85" fillId="0" borderId="13" xfId="0" applyNumberFormat="1" applyFont="1" applyFill="1" applyBorder="1" applyAlignment="1">
      <alignment horizontal="right" vertical="center"/>
    </xf>
    <xf numFmtId="0" fontId="91" fillId="0" borderId="13" xfId="0" applyFont="1" applyBorder="1" applyAlignment="1">
      <alignment horizontal="left" vertical="top" wrapText="1"/>
    </xf>
    <xf numFmtId="1" fontId="86" fillId="0" borderId="0" xfId="0" applyNumberFormat="1" applyFont="1" applyFill="1" applyAlignment="1">
      <alignment horizontal="left" vertical="center"/>
    </xf>
    <xf numFmtId="0" fontId="86" fillId="0" borderId="13" xfId="0" applyFont="1" applyFill="1" applyBorder="1" applyAlignment="1">
      <alignment horizontal="right" vertical="center"/>
    </xf>
    <xf numFmtId="0" fontId="88" fillId="0" borderId="13" xfId="0" applyFont="1" applyFill="1" applyBorder="1" applyAlignment="1">
      <alignment horizontal="center" vertical="center"/>
    </xf>
    <xf numFmtId="0" fontId="86" fillId="0" borderId="13" xfId="0" applyFont="1" applyFill="1" applyBorder="1" applyAlignment="1">
      <alignment horizontal="center" vertical="center"/>
    </xf>
    <xf numFmtId="0" fontId="88" fillId="0" borderId="13" xfId="0" applyFont="1" applyFill="1" applyBorder="1" applyAlignment="1">
      <alignment horizontal="left" vertical="top" wrapText="1"/>
    </xf>
    <xf numFmtId="173" fontId="86" fillId="0" borderId="13" xfId="0" applyNumberFormat="1" applyFont="1" applyFill="1" applyBorder="1" applyAlignment="1">
      <alignment horizontal="right" vertical="center"/>
    </xf>
    <xf numFmtId="0" fontId="86" fillId="0" borderId="13" xfId="0" applyFont="1" applyFill="1" applyBorder="1" applyAlignment="1">
      <alignment horizontal="left" vertical="center"/>
    </xf>
    <xf numFmtId="3" fontId="86" fillId="0" borderId="13" xfId="0" applyNumberFormat="1" applyFont="1" applyFill="1" applyBorder="1" applyAlignment="1">
      <alignment horizontal="right" vertical="center"/>
    </xf>
    <xf numFmtId="173" fontId="86" fillId="0" borderId="16" xfId="0" applyNumberFormat="1" applyFont="1" applyFill="1" applyBorder="1" applyAlignment="1">
      <alignment horizontal="right" vertical="center"/>
    </xf>
    <xf numFmtId="0" fontId="86" fillId="0" borderId="0" xfId="0" applyFont="1" applyFill="1" applyAlignment="1">
      <alignment horizontal="left" vertical="center"/>
    </xf>
    <xf numFmtId="170" fontId="88" fillId="0" borderId="13" xfId="79" applyNumberFormat="1" applyFont="1" applyBorder="1" applyAlignment="1">
      <alignment horizontal="center" vertical="center" wrapText="1"/>
    </xf>
    <xf numFmtId="15" fontId="86" fillId="0" borderId="13" xfId="0" applyNumberFormat="1" applyFont="1" applyFill="1" applyBorder="1" applyAlignment="1">
      <alignment horizontal="center" vertical="center"/>
    </xf>
    <xf numFmtId="3" fontId="64" fillId="0" borderId="13" xfId="0" applyNumberFormat="1" applyFont="1" applyFill="1" applyBorder="1" applyAlignment="1">
      <alignment horizontal="right" vertical="center"/>
    </xf>
    <xf numFmtId="0" fontId="86" fillId="0" borderId="13" xfId="0" applyFont="1" applyBorder="1" applyAlignment="1">
      <alignment horizontal="left" vertical="center" wrapText="1"/>
    </xf>
    <xf numFmtId="0" fontId="86" fillId="0" borderId="13" xfId="0" applyFont="1" applyBorder="1" applyAlignment="1">
      <alignment horizontal="left" vertical="top" wrapText="1"/>
    </xf>
    <xf numFmtId="171" fontId="86" fillId="26" borderId="13" xfId="212" applyNumberFormat="1" applyFont="1" applyFill="1" applyBorder="1" applyAlignment="1">
      <alignment horizontal="right" vertical="center"/>
    </xf>
    <xf numFmtId="170" fontId="86" fillId="26" borderId="13" xfId="79" applyNumberFormat="1" applyFont="1" applyFill="1" applyBorder="1" applyAlignment="1">
      <alignment horizontal="center" vertical="center"/>
    </xf>
    <xf numFmtId="0" fontId="88" fillId="26" borderId="13" xfId="0" applyFont="1" applyFill="1" applyBorder="1" applyAlignment="1">
      <alignment horizontal="left" vertical="center" wrapText="1"/>
    </xf>
    <xf numFmtId="0" fontId="88" fillId="0" borderId="13" xfId="0" applyFont="1" applyBorder="1" applyAlignment="1">
      <alignment horizontal="center" vertical="center"/>
    </xf>
    <xf numFmtId="0" fontId="88" fillId="26" borderId="13" xfId="0" applyFont="1" applyFill="1" applyBorder="1" applyAlignment="1">
      <alignment horizontal="left" vertical="top" wrapText="1"/>
    </xf>
    <xf numFmtId="173" fontId="88" fillId="0" borderId="13" xfId="0" applyNumberFormat="1" applyFont="1" applyBorder="1" applyAlignment="1">
      <alignment horizontal="right" vertical="center"/>
    </xf>
    <xf numFmtId="15" fontId="88" fillId="0" borderId="13" xfId="0" applyNumberFormat="1" applyFont="1" applyBorder="1" applyAlignment="1">
      <alignment horizontal="center" vertical="center"/>
    </xf>
    <xf numFmtId="0" fontId="88" fillId="0" borderId="13" xfId="0" applyFont="1" applyBorder="1"/>
    <xf numFmtId="1" fontId="0" fillId="0" borderId="0" xfId="0" applyNumberFormat="1" applyFont="1"/>
    <xf numFmtId="3" fontId="0" fillId="0" borderId="13" xfId="0" applyNumberFormat="1" applyFont="1" applyBorder="1" applyAlignment="1">
      <alignment horizontal="right" vertical="center"/>
    </xf>
    <xf numFmtId="0" fontId="0" fillId="0" borderId="13" xfId="0" applyFont="1" applyBorder="1"/>
    <xf numFmtId="0" fontId="0" fillId="0" borderId="0" xfId="0" applyFont="1"/>
    <xf numFmtId="0" fontId="86" fillId="0" borderId="13" xfId="0" applyFont="1" applyBorder="1" applyAlignment="1">
      <alignment horizontal="center" vertical="center" wrapText="1"/>
    </xf>
    <xf numFmtId="0" fontId="89" fillId="0" borderId="25" xfId="0" applyFont="1" applyFill="1" applyBorder="1" applyAlignment="1">
      <alignment horizontal="center" vertical="center" wrapText="1"/>
    </xf>
    <xf numFmtId="0" fontId="88" fillId="0" borderId="13" xfId="0" applyFont="1" applyBorder="1" applyAlignment="1">
      <alignment horizontal="center" vertical="center" wrapText="1"/>
    </xf>
    <xf numFmtId="1" fontId="0" fillId="0" borderId="29" xfId="0" applyNumberFormat="1" applyFill="1" applyBorder="1" applyAlignment="1">
      <alignment horizontal="center" vertical="center"/>
    </xf>
    <xf numFmtId="0" fontId="64" fillId="0" borderId="25" xfId="0" applyFont="1" applyFill="1" applyBorder="1" applyAlignment="1">
      <alignment horizontal="left" vertical="center" wrapText="1"/>
    </xf>
    <xf numFmtId="3" fontId="92" fillId="0" borderId="13" xfId="0" applyNumberFormat="1" applyFont="1" applyFill="1" applyBorder="1" applyAlignment="1">
      <alignment horizontal="right" vertical="center"/>
    </xf>
    <xf numFmtId="0" fontId="92" fillId="0" borderId="13" xfId="0" applyFont="1" applyFill="1" applyBorder="1" applyAlignment="1">
      <alignment horizontal="center" vertical="center"/>
    </xf>
    <xf numFmtId="0" fontId="95" fillId="0" borderId="13" xfId="0" applyFont="1" applyFill="1" applyBorder="1" applyAlignment="1">
      <alignment horizontal="left" vertical="top" wrapText="1"/>
    </xf>
    <xf numFmtId="173" fontId="92" fillId="0" borderId="13" xfId="0" applyNumberFormat="1" applyFont="1" applyFill="1" applyBorder="1" applyAlignment="1">
      <alignment horizontal="right" vertical="center"/>
    </xf>
    <xf numFmtId="0" fontId="92" fillId="0" borderId="13" xfId="0" applyFont="1" applyFill="1" applyBorder="1"/>
    <xf numFmtId="173" fontId="92" fillId="0" borderId="16" xfId="0" applyNumberFormat="1" applyFont="1" applyFill="1" applyBorder="1" applyAlignment="1">
      <alignment horizontal="right" vertical="center"/>
    </xf>
    <xf numFmtId="0" fontId="92" fillId="0" borderId="0" xfId="0" applyFont="1" applyFill="1"/>
    <xf numFmtId="1" fontId="86" fillId="0" borderId="29" xfId="0" applyNumberFormat="1" applyFont="1" applyFill="1" applyBorder="1" applyAlignment="1">
      <alignment horizontal="center" vertical="center"/>
    </xf>
    <xf numFmtId="0" fontId="86" fillId="0" borderId="13" xfId="0" applyFont="1" applyFill="1" applyBorder="1"/>
    <xf numFmtId="0" fontId="86" fillId="0" borderId="0" xfId="0" applyFont="1" applyFill="1"/>
    <xf numFmtId="0" fontId="97" fillId="38" borderId="13" xfId="0" applyFont="1" applyFill="1" applyBorder="1" applyAlignment="1">
      <alignment horizontal="center" vertical="center"/>
    </xf>
    <xf numFmtId="0" fontId="97" fillId="38" borderId="13" xfId="0" applyFont="1" applyFill="1" applyBorder="1" applyAlignment="1">
      <alignment horizontal="left" vertical="top"/>
    </xf>
    <xf numFmtId="173" fontId="97" fillId="38" borderId="13" xfId="0" applyNumberFormat="1" applyFont="1" applyFill="1" applyBorder="1" applyAlignment="1">
      <alignment horizontal="right" vertical="center"/>
    </xf>
    <xf numFmtId="0" fontId="97" fillId="38" borderId="13" xfId="0" applyFont="1" applyFill="1" applyBorder="1"/>
    <xf numFmtId="3" fontId="97" fillId="38" borderId="13" xfId="0" applyNumberFormat="1" applyFont="1" applyFill="1" applyBorder="1" applyAlignment="1">
      <alignment horizontal="right" vertical="center"/>
    </xf>
    <xf numFmtId="173" fontId="97" fillId="38" borderId="16" xfId="0" applyNumberFormat="1" applyFont="1" applyFill="1" applyBorder="1" applyAlignment="1">
      <alignment horizontal="right" vertical="center"/>
    </xf>
    <xf numFmtId="0" fontId="63" fillId="38" borderId="13" xfId="0" applyFont="1" applyFill="1" applyBorder="1"/>
    <xf numFmtId="1" fontId="90" fillId="0" borderId="0" xfId="0" applyNumberFormat="1" applyFont="1"/>
    <xf numFmtId="0" fontId="98" fillId="38" borderId="13" xfId="0" applyFont="1" applyFill="1" applyBorder="1" applyAlignment="1">
      <alignment horizontal="center" vertical="center"/>
    </xf>
    <xf numFmtId="0" fontId="98" fillId="38" borderId="13" xfId="0" applyFont="1" applyFill="1" applyBorder="1" applyAlignment="1">
      <alignment horizontal="left" vertical="top"/>
    </xf>
    <xf numFmtId="173" fontId="98" fillId="38" borderId="13" xfId="0" applyNumberFormat="1" applyFont="1" applyFill="1" applyBorder="1" applyAlignment="1">
      <alignment horizontal="right" vertical="center"/>
    </xf>
    <xf numFmtId="0" fontId="98" fillId="38" borderId="13" xfId="0" applyFont="1" applyFill="1" applyBorder="1"/>
    <xf numFmtId="173" fontId="98" fillId="38" borderId="16" xfId="0" applyNumberFormat="1" applyFont="1" applyFill="1" applyBorder="1" applyAlignment="1">
      <alignment horizontal="right" vertical="center"/>
    </xf>
    <xf numFmtId="0" fontId="90" fillId="38" borderId="13" xfId="0" applyFont="1" applyFill="1" applyBorder="1"/>
    <xf numFmtId="0" fontId="90" fillId="0" borderId="0" xfId="0" applyFont="1"/>
    <xf numFmtId="1" fontId="72" fillId="0" borderId="0" xfId="0" applyNumberFormat="1" applyFont="1"/>
    <xf numFmtId="0" fontId="94" fillId="0" borderId="13" xfId="0" applyFont="1" applyBorder="1" applyAlignment="1">
      <alignment horizontal="center" vertical="center"/>
    </xf>
    <xf numFmtId="0" fontId="85" fillId="0" borderId="13" xfId="0" applyFont="1" applyBorder="1" applyAlignment="1">
      <alignment horizontal="left" vertical="center" wrapText="1"/>
    </xf>
    <xf numFmtId="3" fontId="99" fillId="0" borderId="13" xfId="0" applyNumberFormat="1" applyFont="1" applyBorder="1" applyAlignment="1">
      <alignment horizontal="right" vertical="center"/>
    </xf>
    <xf numFmtId="3" fontId="88" fillId="0" borderId="13" xfId="0" applyNumberFormat="1" applyFont="1" applyFill="1" applyBorder="1" applyAlignment="1">
      <alignment horizontal="right" vertical="center"/>
    </xf>
    <xf numFmtId="0" fontId="88" fillId="0" borderId="13" xfId="0" applyFont="1" applyFill="1" applyBorder="1" applyAlignment="1">
      <alignment horizontal="left" vertical="center" wrapText="1"/>
    </xf>
    <xf numFmtId="0" fontId="0" fillId="38" borderId="13" xfId="0" applyFill="1" applyBorder="1"/>
    <xf numFmtId="166" fontId="86" fillId="0" borderId="13" xfId="212" applyFont="1" applyFill="1" applyBorder="1" applyAlignment="1">
      <alignment horizontal="right" vertical="center"/>
    </xf>
    <xf numFmtId="173" fontId="69" fillId="0" borderId="13" xfId="0" applyNumberFormat="1" applyFont="1" applyFill="1" applyBorder="1" applyAlignment="1">
      <alignment horizontal="right" vertical="center"/>
    </xf>
    <xf numFmtId="0" fontId="69" fillId="0" borderId="13" xfId="0" applyFont="1" applyFill="1" applyBorder="1" applyAlignment="1">
      <alignment horizontal="center" vertical="center"/>
    </xf>
    <xf numFmtId="14" fontId="69" fillId="0" borderId="13" xfId="0" applyNumberFormat="1" applyFont="1" applyFill="1" applyBorder="1" applyAlignment="1">
      <alignment horizontal="center" vertical="center"/>
    </xf>
    <xf numFmtId="170" fontId="86" fillId="0" borderId="13" xfId="79" applyNumberFormat="1" applyFont="1" applyBorder="1" applyAlignment="1">
      <alignment vertical="center"/>
    </xf>
    <xf numFmtId="173" fontId="102" fillId="0" borderId="13" xfId="0" applyNumberFormat="1" applyFont="1" applyFill="1" applyBorder="1" applyAlignment="1">
      <alignment horizontal="right" vertical="center"/>
    </xf>
    <xf numFmtId="0" fontId="55" fillId="38" borderId="13" xfId="0" applyFont="1" applyFill="1" applyBorder="1" applyAlignment="1">
      <alignment horizontal="left" vertical="top"/>
    </xf>
    <xf numFmtId="0" fontId="0" fillId="0" borderId="0" xfId="0" applyAlignment="1">
      <alignment horizontal="left" vertical="center" wrapText="1"/>
    </xf>
    <xf numFmtId="3" fontId="0" fillId="0" borderId="0" xfId="0" applyNumberFormat="1" applyAlignment="1">
      <alignment horizontal="right" vertical="center"/>
    </xf>
    <xf numFmtId="0" fontId="0" fillId="0" borderId="0" xfId="0" applyAlignment="1">
      <alignment horizontal="right" vertical="center"/>
    </xf>
    <xf numFmtId="173" fontId="0" fillId="0" borderId="0" xfId="0" applyNumberFormat="1" applyAlignment="1">
      <alignment horizontal="right" vertical="center"/>
    </xf>
    <xf numFmtId="0" fontId="0" fillId="0" borderId="0" xfId="0" applyAlignment="1">
      <alignment wrapText="1"/>
    </xf>
    <xf numFmtId="0" fontId="0" fillId="0" borderId="0" xfId="0" applyAlignment="1">
      <alignment horizontal="center" vertical="center" wrapText="1"/>
    </xf>
    <xf numFmtId="0" fontId="0" fillId="26" borderId="0" xfId="0" applyFill="1" applyAlignment="1">
      <alignment wrapText="1"/>
    </xf>
    <xf numFmtId="0" fontId="0" fillId="0" borderId="13"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wrapText="1"/>
    </xf>
    <xf numFmtId="0" fontId="0" fillId="36" borderId="0" xfId="0" applyFill="1"/>
    <xf numFmtId="193" fontId="2" fillId="0" borderId="12" xfId="355" applyNumberFormat="1" applyFont="1" applyBorder="1" applyAlignment="1" applyProtection="1">
      <alignment horizontal="center" vertical="center"/>
    </xf>
    <xf numFmtId="193" fontId="2" fillId="0" borderId="13" xfId="355" applyNumberFormat="1" applyFont="1" applyBorder="1" applyAlignment="1" applyProtection="1">
      <alignment horizontal="center" vertical="center"/>
    </xf>
    <xf numFmtId="0" fontId="2" fillId="0" borderId="13" xfId="355" applyFont="1" applyBorder="1" applyAlignment="1" applyProtection="1">
      <alignment horizontal="left" vertical="center"/>
    </xf>
    <xf numFmtId="3" fontId="2" fillId="0" borderId="13" xfId="355" applyNumberFormat="1" applyFont="1" applyBorder="1" applyAlignment="1" applyProtection="1">
      <alignment horizontal="center" vertical="center"/>
    </xf>
    <xf numFmtId="43" fontId="2" fillId="36" borderId="13" xfId="143" applyFont="1" applyFill="1" applyBorder="1" applyAlignment="1" applyProtection="1">
      <alignment horizontal="center" vertical="center"/>
    </xf>
    <xf numFmtId="43" fontId="2" fillId="0" borderId="31" xfId="143" applyFont="1" applyBorder="1" applyAlignment="1" applyProtection="1">
      <alignment vertical="center"/>
    </xf>
    <xf numFmtId="0" fontId="2" fillId="0" borderId="31" xfId="355" applyFont="1" applyBorder="1" applyAlignment="1" applyProtection="1">
      <alignment vertical="center"/>
    </xf>
    <xf numFmtId="0" fontId="2" fillId="26" borderId="16" xfId="355" applyFont="1" applyFill="1" applyBorder="1" applyAlignment="1" applyProtection="1">
      <alignment vertical="center"/>
    </xf>
    <xf numFmtId="0" fontId="2" fillId="0" borderId="16" xfId="355" applyFont="1" applyBorder="1" applyAlignment="1" applyProtection="1">
      <alignment vertical="center"/>
    </xf>
    <xf numFmtId="0" fontId="5" fillId="41" borderId="12" xfId="348" applyFont="1" applyFill="1" applyBorder="1" applyAlignment="1">
      <alignment horizontal="left" vertical="center" wrapText="1"/>
    </xf>
    <xf numFmtId="3" fontId="5" fillId="42" borderId="34" xfId="428" applyNumberFormat="1" applyFont="1" applyFill="1" applyBorder="1" applyAlignment="1">
      <alignment vertical="center" wrapText="1"/>
    </xf>
    <xf numFmtId="3" fontId="5" fillId="0" borderId="13" xfId="355" applyNumberFormat="1" applyFont="1" applyBorder="1" applyAlignment="1" applyProtection="1">
      <alignment horizontal="center" vertical="center"/>
    </xf>
    <xf numFmtId="0" fontId="2" fillId="0" borderId="12" xfId="348" applyFont="1" applyFill="1" applyBorder="1" applyAlignment="1">
      <alignment horizontal="left" vertical="center" wrapText="1"/>
    </xf>
    <xf numFmtId="3" fontId="2" fillId="37" borderId="35" xfId="428" applyNumberFormat="1" applyFont="1" applyFill="1" applyBorder="1" applyAlignment="1">
      <alignment vertical="center" wrapText="1"/>
    </xf>
    <xf numFmtId="0" fontId="2" fillId="0" borderId="13" xfId="355" applyFont="1" applyBorder="1" applyAlignment="1" applyProtection="1">
      <alignment vertical="center" wrapText="1"/>
    </xf>
    <xf numFmtId="3" fontId="2" fillId="37" borderId="35" xfId="428" applyNumberFormat="1" applyFont="1" applyFill="1" applyBorder="1" applyAlignment="1">
      <alignment horizontal="center" vertical="center" wrapText="1"/>
    </xf>
    <xf numFmtId="43" fontId="2" fillId="0" borderId="13" xfId="143" applyFont="1" applyFill="1" applyBorder="1" applyAlignment="1" applyProtection="1">
      <alignment horizontal="center" vertical="center"/>
    </xf>
    <xf numFmtId="3" fontId="2" fillId="0" borderId="13" xfId="355" applyNumberFormat="1" applyFont="1" applyBorder="1" applyAlignment="1" applyProtection="1">
      <alignment vertical="center"/>
    </xf>
    <xf numFmtId="193" fontId="2" fillId="0" borderId="13" xfId="355" applyNumberFormat="1" applyFont="1" applyBorder="1" applyAlignment="1" applyProtection="1">
      <alignment horizontal="left" vertical="center"/>
    </xf>
    <xf numFmtId="198" fontId="2" fillId="0" borderId="13" xfId="355" applyNumberFormat="1" applyFont="1" applyBorder="1" applyAlignment="1" applyProtection="1">
      <alignment vertical="center"/>
    </xf>
    <xf numFmtId="0" fontId="5" fillId="0" borderId="12" xfId="348" applyFont="1" applyFill="1" applyBorder="1" applyAlignment="1">
      <alignment vertical="center" wrapText="1"/>
    </xf>
    <xf numFmtId="193" fontId="5" fillId="0" borderId="35" xfId="355" applyNumberFormat="1" applyFont="1" applyBorder="1" applyAlignment="1" applyProtection="1">
      <alignment vertical="center"/>
    </xf>
    <xf numFmtId="0" fontId="2" fillId="0" borderId="12" xfId="348" applyFont="1" applyFill="1" applyBorder="1" applyAlignment="1">
      <alignment vertical="center" wrapText="1"/>
    </xf>
    <xf numFmtId="168" fontId="2" fillId="0" borderId="35" xfId="355" applyNumberFormat="1" applyFont="1" applyBorder="1" applyAlignment="1" applyProtection="1">
      <alignment vertical="center"/>
    </xf>
    <xf numFmtId="3" fontId="2" fillId="0" borderId="35" xfId="355" applyNumberFormat="1" applyFont="1" applyBorder="1" applyAlignment="1" applyProtection="1">
      <alignment horizontal="center" vertical="center"/>
    </xf>
    <xf numFmtId="3" fontId="5" fillId="0" borderId="35" xfId="355" applyNumberFormat="1" applyFont="1" applyBorder="1" applyAlignment="1" applyProtection="1">
      <alignment horizontal="center" vertical="center"/>
    </xf>
    <xf numFmtId="0" fontId="2" fillId="26" borderId="13" xfId="355" applyFont="1" applyFill="1" applyBorder="1" applyAlignment="1" applyProtection="1">
      <alignment vertical="center"/>
    </xf>
    <xf numFmtId="43" fontId="2" fillId="0" borderId="16" xfId="143" applyFont="1" applyBorder="1" applyAlignment="1" applyProtection="1">
      <alignment vertical="center"/>
    </xf>
    <xf numFmtId="3" fontId="2" fillId="0" borderId="13" xfId="355" applyNumberFormat="1" applyFont="1" applyBorder="1" applyAlignment="1" applyProtection="1">
      <alignment horizontal="left" vertical="center"/>
    </xf>
    <xf numFmtId="3" fontId="2" fillId="0" borderId="16" xfId="355" applyNumberFormat="1" applyFont="1" applyBorder="1" applyAlignment="1" applyProtection="1">
      <alignment vertical="center"/>
    </xf>
    <xf numFmtId="43" fontId="2" fillId="36" borderId="16" xfId="143" applyFont="1" applyFill="1" applyBorder="1" applyAlignment="1" applyProtection="1">
      <alignment vertical="center"/>
    </xf>
    <xf numFmtId="4" fontId="2" fillId="0" borderId="13" xfId="355" applyNumberFormat="1" applyFont="1" applyBorder="1" applyAlignment="1" applyProtection="1">
      <alignment horizontal="center" vertical="center"/>
    </xf>
    <xf numFmtId="3" fontId="2" fillId="0" borderId="31" xfId="355" applyNumberFormat="1" applyFont="1" applyBorder="1" applyAlignment="1" applyProtection="1">
      <alignment vertical="center"/>
    </xf>
    <xf numFmtId="3" fontId="2" fillId="26" borderId="16" xfId="355" applyNumberFormat="1" applyFont="1" applyFill="1" applyBorder="1" applyAlignment="1" applyProtection="1">
      <alignment vertical="center"/>
    </xf>
    <xf numFmtId="197" fontId="2" fillId="37" borderId="35" xfId="428" applyNumberFormat="1" applyFont="1" applyFill="1" applyBorder="1" applyAlignment="1">
      <alignment vertical="center" wrapText="1"/>
    </xf>
    <xf numFmtId="43" fontId="2" fillId="40" borderId="31" xfId="143" applyFont="1" applyFill="1" applyBorder="1" applyAlignment="1" applyProtection="1">
      <alignment vertical="center"/>
    </xf>
    <xf numFmtId="0" fontId="5" fillId="26" borderId="12" xfId="355" applyFont="1" applyFill="1" applyBorder="1" applyAlignment="1" applyProtection="1">
      <alignment horizontal="left" vertical="center"/>
    </xf>
    <xf numFmtId="0" fontId="2" fillId="26" borderId="13" xfId="355" applyFont="1" applyFill="1" applyBorder="1" applyAlignment="1" applyProtection="1">
      <alignment horizontal="left" vertical="center"/>
    </xf>
    <xf numFmtId="0" fontId="2" fillId="26" borderId="12" xfId="355" applyFont="1" applyFill="1" applyBorder="1" applyAlignment="1" applyProtection="1">
      <alignment horizontal="left" vertical="center"/>
    </xf>
    <xf numFmtId="0" fontId="2" fillId="0" borderId="13" xfId="355" applyFont="1" applyBorder="1" applyAlignment="1" applyProtection="1">
      <alignment horizontal="center" vertical="center" wrapText="1"/>
    </xf>
    <xf numFmtId="0" fontId="5" fillId="26" borderId="12" xfId="348" applyFont="1" applyFill="1" applyBorder="1" applyAlignment="1">
      <alignment vertical="center" wrapText="1"/>
    </xf>
    <xf numFmtId="198" fontId="2" fillId="37" borderId="35" xfId="428" applyNumberFormat="1" applyFont="1" applyFill="1" applyBorder="1" applyAlignment="1">
      <alignment vertical="center" wrapText="1"/>
    </xf>
    <xf numFmtId="193" fontId="2" fillId="0" borderId="13" xfId="355" applyNumberFormat="1" applyFont="1" applyBorder="1" applyAlignment="1" applyProtection="1">
      <alignment vertical="center"/>
    </xf>
    <xf numFmtId="3" fontId="2" fillId="0" borderId="13" xfId="143" applyNumberFormat="1" applyFont="1" applyBorder="1" applyAlignment="1" applyProtection="1">
      <alignment horizontal="center" vertical="center"/>
    </xf>
    <xf numFmtId="170" fontId="2" fillId="0" borderId="13" xfId="355" applyNumberFormat="1" applyFont="1" applyBorder="1" applyAlignment="1" applyProtection="1">
      <alignment horizontal="left" vertical="center"/>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0" xfId="0" applyNumberFormat="1" applyFont="1" applyBorder="1"/>
    <xf numFmtId="3" fontId="2" fillId="26" borderId="13" xfId="0" applyNumberFormat="1" applyFont="1" applyFill="1" applyBorder="1" applyAlignment="1">
      <alignment horizontal="center" vertical="center" wrapText="1"/>
    </xf>
    <xf numFmtId="164" fontId="2" fillId="0" borderId="13" xfId="355" applyNumberFormat="1" applyFont="1" applyBorder="1" applyAlignment="1" applyProtection="1">
      <alignment horizontal="center" vertical="center"/>
    </xf>
    <xf numFmtId="0" fontId="2" fillId="26" borderId="13" xfId="0" applyFont="1" applyFill="1" applyBorder="1" applyAlignment="1">
      <alignment vertical="center" wrapText="1"/>
    </xf>
    <xf numFmtId="3" fontId="2" fillId="26" borderId="13" xfId="355" applyNumberFormat="1" applyFont="1" applyFill="1" applyBorder="1" applyAlignment="1" applyProtection="1">
      <alignment horizontal="center" vertical="center"/>
    </xf>
    <xf numFmtId="4" fontId="2" fillId="26" borderId="13" xfId="355" applyNumberFormat="1" applyFont="1" applyFill="1" applyBorder="1" applyAlignment="1" applyProtection="1">
      <alignment horizontal="left" vertical="center"/>
    </xf>
    <xf numFmtId="3" fontId="2" fillId="26" borderId="13" xfId="355" applyNumberFormat="1" applyFont="1" applyFill="1" applyBorder="1" applyAlignment="1" applyProtection="1">
      <alignment horizontal="left" vertical="center"/>
    </xf>
    <xf numFmtId="193" fontId="2" fillId="26" borderId="13" xfId="355" applyNumberFormat="1" applyFont="1" applyFill="1" applyBorder="1" applyAlignment="1" applyProtection="1">
      <alignment horizontal="left" vertical="center"/>
    </xf>
    <xf numFmtId="3" fontId="2" fillId="26" borderId="35" xfId="355" applyNumberFormat="1" applyFont="1" applyFill="1" applyBorder="1" applyAlignment="1" applyProtection="1">
      <alignment horizontal="center" vertical="center"/>
    </xf>
    <xf numFmtId="0" fontId="2" fillId="26" borderId="24" xfId="0" applyFont="1" applyFill="1" applyBorder="1" applyAlignment="1">
      <alignment vertical="center" wrapText="1"/>
    </xf>
    <xf numFmtId="3" fontId="2" fillId="0" borderId="13" xfId="0" applyNumberFormat="1" applyFont="1" applyFill="1" applyBorder="1" applyAlignment="1">
      <alignment horizontal="left" vertical="center" wrapText="1"/>
    </xf>
    <xf numFmtId="3" fontId="2" fillId="0" borderId="35" xfId="0" applyNumberFormat="1" applyFont="1" applyBorder="1" applyAlignment="1">
      <alignment horizontal="right" vertical="center" wrapText="1"/>
    </xf>
    <xf numFmtId="3" fontId="5" fillId="42" borderId="13" xfId="428" applyNumberFormat="1" applyFont="1" applyFill="1" applyBorder="1" applyAlignment="1">
      <alignment vertical="center" wrapText="1"/>
    </xf>
    <xf numFmtId="0" fontId="2" fillId="0" borderId="25" xfId="355" applyFont="1" applyBorder="1" applyAlignment="1" applyProtection="1">
      <alignment horizontal="left" vertical="center"/>
    </xf>
    <xf numFmtId="43" fontId="2" fillId="0" borderId="31" xfId="143" applyFont="1" applyBorder="1" applyAlignment="1" applyProtection="1">
      <alignment horizontal="center" vertical="center"/>
    </xf>
    <xf numFmtId="0" fontId="2" fillId="0" borderId="31" xfId="355" applyFont="1" applyBorder="1" applyAlignment="1" applyProtection="1">
      <alignment horizontal="center" vertical="center"/>
    </xf>
    <xf numFmtId="0" fontId="2" fillId="26" borderId="16" xfId="355" applyFont="1" applyFill="1" applyBorder="1" applyAlignment="1" applyProtection="1">
      <alignment horizontal="center" vertical="center"/>
    </xf>
    <xf numFmtId="0" fontId="2" fillId="0" borderId="16" xfId="355" applyFont="1" applyBorder="1" applyAlignment="1" applyProtection="1">
      <alignment horizontal="center" vertical="center"/>
    </xf>
    <xf numFmtId="0" fontId="2" fillId="0" borderId="12" xfId="355" applyFont="1" applyBorder="1" applyAlignment="1" applyProtection="1">
      <alignment horizontal="center" vertical="center"/>
    </xf>
    <xf numFmtId="0" fontId="2" fillId="0" borderId="0" xfId="355" applyFont="1" applyBorder="1" applyAlignment="1" applyProtection="1">
      <alignment vertical="center"/>
    </xf>
    <xf numFmtId="0" fontId="2" fillId="26" borderId="13" xfId="0" applyFont="1" applyFill="1" applyBorder="1" applyAlignment="1">
      <alignment horizontal="left" vertical="center" wrapText="1"/>
    </xf>
    <xf numFmtId="43" fontId="2" fillId="36" borderId="24" xfId="143" applyFont="1" applyFill="1" applyBorder="1" applyAlignment="1" applyProtection="1">
      <alignment horizontal="center" vertical="center"/>
    </xf>
    <xf numFmtId="43" fontId="2" fillId="36" borderId="36" xfId="143" applyFont="1" applyFill="1" applyBorder="1" applyAlignment="1" applyProtection="1">
      <alignment horizontal="center" vertical="center"/>
    </xf>
    <xf numFmtId="43" fontId="2" fillId="36" borderId="20" xfId="143" applyFont="1" applyFill="1" applyBorder="1" applyAlignment="1" applyProtection="1">
      <alignment horizontal="center" vertical="center"/>
    </xf>
    <xf numFmtId="3" fontId="2" fillId="0" borderId="13" xfId="143" applyNumberFormat="1" applyFont="1" applyBorder="1" applyAlignment="1" applyProtection="1">
      <alignment horizontal="center" vertical="center" wrapText="1"/>
    </xf>
    <xf numFmtId="3" fontId="2" fillId="26" borderId="31" xfId="355" applyNumberFormat="1" applyFont="1" applyFill="1" applyBorder="1" applyAlignment="1" applyProtection="1">
      <alignment horizontal="center" vertical="center"/>
    </xf>
    <xf numFmtId="0" fontId="2" fillId="0" borderId="0" xfId="355" applyFont="1" applyBorder="1" applyAlignment="1" applyProtection="1">
      <alignment horizontal="left" vertical="center"/>
      <protection locked="0"/>
    </xf>
    <xf numFmtId="0" fontId="2" fillId="0" borderId="0" xfId="355" applyFont="1" applyBorder="1" applyAlignment="1" applyProtection="1">
      <alignment vertical="center"/>
      <protection locked="0"/>
    </xf>
    <xf numFmtId="0" fontId="2" fillId="26" borderId="31" xfId="355" applyFont="1" applyFill="1" applyBorder="1" applyAlignment="1" applyProtection="1">
      <alignment horizontal="center" vertical="center"/>
    </xf>
    <xf numFmtId="0" fontId="2" fillId="0" borderId="26" xfId="355" applyFont="1" applyBorder="1" applyAlignment="1" applyProtection="1">
      <alignment vertical="center"/>
    </xf>
    <xf numFmtId="193" fontId="2" fillId="0" borderId="13" xfId="355" applyNumberFormat="1" applyFont="1" applyBorder="1" applyAlignment="1" applyProtection="1">
      <alignment horizontal="left" vertical="center" wrapText="1"/>
    </xf>
    <xf numFmtId="0" fontId="2" fillId="0" borderId="24" xfId="355" applyFont="1" applyBorder="1" applyAlignment="1" applyProtection="1">
      <alignment horizontal="left" vertical="center" wrapText="1"/>
    </xf>
    <xf numFmtId="3" fontId="2" fillId="0" borderId="24" xfId="143" applyNumberFormat="1" applyFont="1" applyBorder="1" applyAlignment="1" applyProtection="1">
      <alignment horizontal="center" vertical="center"/>
    </xf>
    <xf numFmtId="0" fontId="2" fillId="0" borderId="30" xfId="355" applyFont="1" applyBorder="1" applyAlignment="1" applyProtection="1">
      <alignment horizontal="center" vertical="center"/>
    </xf>
    <xf numFmtId="43" fontId="2" fillId="26" borderId="31" xfId="143" applyFont="1" applyFill="1" applyBorder="1" applyAlignment="1" applyProtection="1">
      <alignment horizontal="center" vertical="center"/>
    </xf>
    <xf numFmtId="3" fontId="2" fillId="26" borderId="13" xfId="143" applyNumberFormat="1" applyFont="1" applyFill="1" applyBorder="1" applyAlignment="1">
      <alignment horizontal="center" vertical="center" wrapText="1"/>
    </xf>
    <xf numFmtId="0" fontId="2" fillId="26" borderId="0" xfId="0" applyFont="1" applyFill="1" applyBorder="1" applyAlignment="1">
      <alignment horizontal="left" vertical="center" wrapText="1"/>
    </xf>
    <xf numFmtId="3" fontId="2" fillId="0" borderId="36" xfId="143" applyNumberFormat="1" applyFont="1" applyBorder="1" applyAlignment="1" applyProtection="1">
      <alignment horizontal="center" vertical="center"/>
    </xf>
    <xf numFmtId="0" fontId="2" fillId="0" borderId="15" xfId="355" applyFont="1" applyBorder="1" applyAlignment="1" applyProtection="1">
      <alignment vertical="center"/>
    </xf>
    <xf numFmtId="0" fontId="2" fillId="0" borderId="12" xfId="355" applyFont="1" applyBorder="1" applyAlignment="1" applyProtection="1">
      <alignment vertical="center"/>
    </xf>
    <xf numFmtId="0" fontId="2" fillId="0" borderId="13" xfId="355" applyFont="1" applyBorder="1" applyAlignment="1" applyProtection="1">
      <alignment horizontal="left" vertical="center" wrapText="1"/>
    </xf>
    <xf numFmtId="167" fontId="2" fillId="0" borderId="13" xfId="355" applyNumberFormat="1" applyFont="1" applyBorder="1" applyAlignment="1" applyProtection="1">
      <alignment vertical="center"/>
    </xf>
    <xf numFmtId="0" fontId="2" fillId="26" borderId="31" xfId="355" applyFont="1" applyFill="1" applyBorder="1" applyAlignment="1" applyProtection="1">
      <alignment vertical="center"/>
    </xf>
    <xf numFmtId="0" fontId="2" fillId="0" borderId="37" xfId="348" applyFont="1" applyFill="1" applyBorder="1" applyAlignment="1">
      <alignment vertical="center" wrapText="1"/>
    </xf>
    <xf numFmtId="0" fontId="2" fillId="26" borderId="13" xfId="348" applyFont="1" applyFill="1" applyBorder="1" applyAlignment="1">
      <alignment horizontal="left" vertical="center" wrapText="1"/>
    </xf>
    <xf numFmtId="3" fontId="5" fillId="0" borderId="13" xfId="143" applyNumberFormat="1" applyFont="1" applyBorder="1" applyAlignment="1" applyProtection="1">
      <alignment horizontal="center" vertical="center"/>
    </xf>
    <xf numFmtId="0" fontId="2" fillId="0" borderId="25" xfId="355" applyFont="1" applyBorder="1" applyAlignment="1" applyProtection="1">
      <alignment vertical="center"/>
    </xf>
    <xf numFmtId="1" fontId="94" fillId="31" borderId="13" xfId="0" applyNumberFormat="1" applyFont="1" applyFill="1" applyBorder="1"/>
    <xf numFmtId="0" fontId="94" fillId="31" borderId="13" xfId="0" applyFont="1" applyFill="1" applyBorder="1" applyAlignment="1">
      <alignment horizontal="justify" wrapText="1"/>
    </xf>
    <xf numFmtId="1" fontId="86" fillId="0" borderId="13" xfId="0" applyNumberFormat="1" applyFont="1" applyBorder="1"/>
    <xf numFmtId="0" fontId="86" fillId="0" borderId="13" xfId="0" applyFont="1" applyBorder="1" applyAlignment="1">
      <alignment horizontal="justify" wrapText="1"/>
    </xf>
    <xf numFmtId="170" fontId="86" fillId="26" borderId="13" xfId="79" applyNumberFormat="1" applyFont="1" applyFill="1" applyBorder="1" applyAlignment="1">
      <alignment horizontal="justify" vertical="center" wrapText="1"/>
    </xf>
    <xf numFmtId="170" fontId="86" fillId="26" borderId="13" xfId="79" applyNumberFormat="1" applyFont="1" applyFill="1" applyBorder="1" applyAlignment="1">
      <alignment horizontal="justify" wrapText="1"/>
    </xf>
    <xf numFmtId="170" fontId="86" fillId="0" borderId="13" xfId="79" applyNumberFormat="1" applyFont="1" applyBorder="1" applyAlignment="1">
      <alignment horizontal="justify" vertical="center" wrapText="1"/>
    </xf>
    <xf numFmtId="1" fontId="64" fillId="26" borderId="13" xfId="0" applyNumberFormat="1" applyFont="1" applyFill="1" applyBorder="1" applyAlignment="1"/>
    <xf numFmtId="170" fontId="90" fillId="26" borderId="13" xfId="0" applyNumberFormat="1" applyFont="1" applyFill="1" applyBorder="1" applyAlignment="1">
      <alignment horizontal="justify" wrapText="1"/>
    </xf>
    <xf numFmtId="170" fontId="2" fillId="0" borderId="13" xfId="355" applyNumberFormat="1" applyBorder="1" applyAlignment="1" applyProtection="1">
      <alignment horizontal="center" vertical="center"/>
    </xf>
    <xf numFmtId="1" fontId="0" fillId="0" borderId="13" xfId="0" applyNumberFormat="1" applyBorder="1" applyAlignment="1">
      <alignment vertical="center"/>
    </xf>
    <xf numFmtId="0" fontId="0" fillId="0" borderId="13" xfId="0" applyBorder="1" applyAlignment="1">
      <alignment horizontal="justify" vertical="center" wrapText="1"/>
    </xf>
    <xf numFmtId="170" fontId="85" fillId="0" borderId="13" xfId="79" applyNumberFormat="1" applyFont="1" applyBorder="1" applyAlignment="1">
      <alignment horizontal="justify" vertical="center" wrapText="1"/>
    </xf>
    <xf numFmtId="170" fontId="3" fillId="0" borderId="13" xfId="355" applyNumberFormat="1" applyFont="1" applyBorder="1" applyAlignment="1" applyProtection="1">
      <alignment horizontal="center" vertical="center"/>
    </xf>
    <xf numFmtId="170" fontId="72" fillId="0" borderId="13" xfId="79" applyNumberFormat="1" applyFont="1" applyBorder="1" applyAlignment="1">
      <alignment vertical="center"/>
    </xf>
    <xf numFmtId="170" fontId="85" fillId="0" borderId="13" xfId="0" applyNumberFormat="1" applyFont="1" applyBorder="1" applyAlignment="1">
      <alignment vertical="center" wrapText="1"/>
    </xf>
    <xf numFmtId="0" fontId="6" fillId="0" borderId="13" xfId="0" applyFont="1" applyBorder="1" applyAlignment="1" applyProtection="1">
      <alignment vertical="center" wrapText="1"/>
    </xf>
    <xf numFmtId="171" fontId="7" fillId="26" borderId="13" xfId="216" applyNumberFormat="1" applyFont="1" applyFill="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0" fillId="0" borderId="13" xfId="0" applyFont="1" applyFill="1" applyBorder="1" applyProtection="1">
      <protection locked="0"/>
    </xf>
    <xf numFmtId="0" fontId="3" fillId="0" borderId="13" xfId="0" applyFont="1" applyFill="1" applyBorder="1" applyAlignment="1" applyProtection="1">
      <alignment vertical="center" wrapText="1"/>
    </xf>
    <xf numFmtId="171" fontId="7" fillId="0" borderId="13" xfId="216" applyNumberFormat="1" applyFont="1" applyFill="1" applyBorder="1" applyAlignment="1" applyProtection="1">
      <alignment horizontal="center" vertical="center" wrapText="1"/>
    </xf>
    <xf numFmtId="0" fontId="2" fillId="0" borderId="13" xfId="355" applyFont="1" applyFill="1" applyBorder="1" applyAlignment="1" applyProtection="1">
      <alignment vertical="center" wrapText="1"/>
    </xf>
    <xf numFmtId="0" fontId="2" fillId="0" borderId="13" xfId="355" applyFont="1" applyFill="1" applyBorder="1" applyAlignment="1" applyProtection="1">
      <alignment vertical="center"/>
    </xf>
    <xf numFmtId="0" fontId="13" fillId="0" borderId="13" xfId="0" applyFont="1" applyFill="1" applyBorder="1" applyAlignment="1" applyProtection="1">
      <alignment horizontal="center" vertical="center" wrapText="1"/>
    </xf>
    <xf numFmtId="14" fontId="0" fillId="0" borderId="13" xfId="0" applyNumberFormat="1" applyFont="1" applyFill="1" applyBorder="1" applyAlignment="1" applyProtection="1">
      <alignment horizontal="center" vertical="center"/>
      <protection locked="0"/>
    </xf>
    <xf numFmtId="0" fontId="2" fillId="0" borderId="13" xfId="355" applyFill="1" applyBorder="1" applyAlignment="1" applyProtection="1">
      <alignment vertical="center"/>
    </xf>
    <xf numFmtId="14" fontId="13" fillId="0" borderId="13" xfId="0" applyNumberFormat="1" applyFont="1" applyFill="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3" fillId="0" borderId="13" xfId="0" applyFont="1" applyBorder="1" applyAlignment="1" applyProtection="1">
      <alignment vertical="center" wrapText="1"/>
    </xf>
    <xf numFmtId="14" fontId="13" fillId="0" borderId="13" xfId="0" applyNumberFormat="1" applyFont="1" applyBorder="1" applyAlignment="1" applyProtection="1">
      <alignment horizontal="center" vertical="center" wrapText="1"/>
      <protection locked="0"/>
    </xf>
    <xf numFmtId="171" fontId="30" fillId="26" borderId="13" xfId="216" applyNumberFormat="1" applyFont="1" applyFill="1" applyBorder="1" applyAlignment="1" applyProtection="1">
      <alignment horizontal="center" vertical="center" wrapText="1"/>
    </xf>
    <xf numFmtId="0" fontId="69" fillId="0" borderId="13" xfId="0" applyFont="1" applyFill="1" applyBorder="1" applyAlignment="1" applyProtection="1">
      <alignment vertical="center" wrapText="1"/>
    </xf>
    <xf numFmtId="171" fontId="81" fillId="0" borderId="13" xfId="216" applyNumberFormat="1" applyFont="1" applyFill="1" applyBorder="1" applyAlignment="1" applyProtection="1">
      <alignment horizontal="center" vertical="center" wrapText="1"/>
    </xf>
    <xf numFmtId="0" fontId="104" fillId="0" borderId="13" xfId="355" applyFont="1" applyFill="1" applyBorder="1" applyAlignment="1" applyProtection="1">
      <alignment vertical="center"/>
    </xf>
    <xf numFmtId="0" fontId="71" fillId="0" borderId="13" xfId="0" applyFont="1" applyFill="1" applyBorder="1" applyAlignment="1" applyProtection="1">
      <alignment horizontal="center" vertical="center" wrapText="1"/>
    </xf>
    <xf numFmtId="14" fontId="0" fillId="0" borderId="13" xfId="0" applyNumberFormat="1" applyFont="1" applyFill="1" applyBorder="1" applyAlignment="1" applyProtection="1">
      <alignment horizontal="center"/>
      <protection locked="0"/>
    </xf>
    <xf numFmtId="14" fontId="71" fillId="0" borderId="13" xfId="0" applyNumberFormat="1" applyFont="1" applyFill="1" applyBorder="1" applyAlignment="1" applyProtection="1">
      <alignment horizontal="center" vertical="center" wrapText="1"/>
      <protection locked="0"/>
    </xf>
    <xf numFmtId="171" fontId="3" fillId="0" borderId="13" xfId="355" applyNumberFormat="1" applyFont="1" applyBorder="1" applyAlignment="1" applyProtection="1">
      <alignment vertical="center"/>
    </xf>
    <xf numFmtId="14" fontId="0" fillId="0" borderId="0" xfId="0" applyNumberFormat="1" applyFont="1" applyFill="1" applyBorder="1" applyAlignment="1" applyProtection="1">
      <alignment horizontal="center"/>
      <protection locked="0"/>
    </xf>
    <xf numFmtId="0" fontId="2" fillId="0" borderId="13" xfId="355" applyBorder="1" applyAlignment="1" applyProtection="1">
      <alignment vertical="center" wrapText="1"/>
    </xf>
    <xf numFmtId="193" fontId="2" fillId="0" borderId="13" xfId="355" applyNumberFormat="1" applyBorder="1" applyAlignment="1" applyProtection="1">
      <alignment horizontal="center" vertical="center"/>
    </xf>
    <xf numFmtId="0" fontId="6" fillId="0" borderId="13" xfId="0" applyFont="1" applyBorder="1" applyAlignment="1" applyProtection="1">
      <alignment horizontal="justify" vertical="center" wrapText="1"/>
    </xf>
    <xf numFmtId="0" fontId="69" fillId="0" borderId="13" xfId="0" applyFont="1" applyFill="1" applyBorder="1" applyAlignment="1" applyProtection="1">
      <alignment vertical="center" wrapText="1"/>
      <protection locked="0"/>
    </xf>
    <xf numFmtId="200" fontId="2" fillId="0" borderId="13" xfId="355" applyNumberFormat="1" applyBorder="1" applyAlignment="1" applyProtection="1">
      <alignment vertical="center"/>
    </xf>
    <xf numFmtId="14" fontId="2" fillId="0" borderId="13" xfId="355" applyNumberFormat="1" applyBorder="1" applyAlignment="1" applyProtection="1">
      <alignment vertical="center"/>
    </xf>
    <xf numFmtId="0" fontId="3" fillId="0" borderId="13" xfId="0" applyFont="1" applyBorder="1" applyAlignment="1" applyProtection="1">
      <alignment horizontal="justify" vertical="center" wrapText="1"/>
    </xf>
    <xf numFmtId="0" fontId="2" fillId="0" borderId="13" xfId="0" applyFont="1" applyBorder="1" applyAlignment="1" applyProtection="1">
      <alignment horizontal="justify" vertical="center" wrapText="1"/>
    </xf>
    <xf numFmtId="0" fontId="0" fillId="0" borderId="13" xfId="0" applyFont="1" applyFill="1" applyBorder="1" applyAlignment="1" applyProtection="1">
      <alignment wrapText="1"/>
      <protection locked="0"/>
    </xf>
    <xf numFmtId="0" fontId="0" fillId="0" borderId="13" xfId="0" applyFont="1" applyFill="1" applyBorder="1" applyAlignment="1" applyProtection="1">
      <alignment vertical="center" wrapText="1"/>
      <protection locked="0"/>
    </xf>
    <xf numFmtId="0" fontId="5" fillId="32" borderId="24" xfId="355" applyFont="1" applyFill="1" applyBorder="1" applyAlignment="1" applyProtection="1">
      <alignment horizontal="center" vertical="center"/>
      <protection locked="0"/>
    </xf>
    <xf numFmtId="0" fontId="6" fillId="26" borderId="24" xfId="355" applyFont="1" applyFill="1" applyBorder="1" applyAlignment="1" applyProtection="1">
      <alignment horizontal="center" vertical="center" wrapText="1"/>
    </xf>
    <xf numFmtId="0" fontId="5" fillId="26" borderId="24" xfId="355" applyFont="1" applyFill="1" applyBorder="1" applyAlignment="1" applyProtection="1">
      <alignment horizontal="center" vertical="center"/>
      <protection locked="0"/>
    </xf>
    <xf numFmtId="0" fontId="5" fillId="26" borderId="35" xfId="355" applyFont="1" applyFill="1" applyBorder="1" applyAlignment="1" applyProtection="1">
      <alignment horizontal="center" vertical="center"/>
      <protection locked="0"/>
    </xf>
    <xf numFmtId="1" fontId="105" fillId="0" borderId="13" xfId="0" applyNumberFormat="1" applyFont="1" applyBorder="1" applyAlignment="1">
      <alignment horizontal="left" vertical="center" wrapText="1"/>
    </xf>
    <xf numFmtId="3" fontId="30" fillId="26" borderId="13" xfId="355" applyNumberFormat="1" applyFont="1" applyFill="1" applyBorder="1" applyAlignment="1" applyProtection="1">
      <alignment horizontal="left" vertical="center" wrapText="1"/>
    </xf>
    <xf numFmtId="0" fontId="106" fillId="26" borderId="24" xfId="355" applyFont="1" applyFill="1" applyBorder="1" applyAlignment="1" applyProtection="1">
      <alignment horizontal="center" vertical="center" wrapText="1"/>
    </xf>
    <xf numFmtId="3" fontId="106" fillId="0" borderId="13" xfId="355" applyNumberFormat="1" applyFont="1" applyBorder="1" applyAlignment="1" applyProtection="1">
      <alignment horizontal="center" vertical="center"/>
    </xf>
    <xf numFmtId="0" fontId="106" fillId="0" borderId="13" xfId="355" applyFont="1" applyBorder="1" applyAlignment="1" applyProtection="1">
      <alignment vertical="center" wrapText="1"/>
    </xf>
    <xf numFmtId="170" fontId="105" fillId="0" borderId="13" xfId="79" applyNumberFormat="1" applyFont="1" applyBorder="1" applyAlignment="1">
      <alignment horizontal="left" vertical="center" wrapText="1"/>
    </xf>
    <xf numFmtId="3" fontId="73" fillId="0" borderId="13" xfId="79" applyNumberFormat="1" applyFont="1" applyBorder="1" applyAlignment="1">
      <alignment horizontal="center" vertical="center" wrapText="1"/>
    </xf>
    <xf numFmtId="0" fontId="106" fillId="0" borderId="13" xfId="355" applyFont="1" applyBorder="1" applyAlignment="1" applyProtection="1">
      <alignment vertical="center"/>
    </xf>
    <xf numFmtId="0" fontId="106" fillId="0" borderId="13" xfId="355" applyFont="1" applyBorder="1" applyAlignment="1" applyProtection="1">
      <alignment horizontal="center" vertical="center"/>
    </xf>
    <xf numFmtId="3" fontId="106" fillId="0" borderId="13" xfId="355" applyNumberFormat="1" applyFont="1" applyBorder="1" applyAlignment="1" applyProtection="1">
      <alignment horizontal="center" vertical="center"/>
      <protection locked="0"/>
    </xf>
    <xf numFmtId="170" fontId="105" fillId="26" borderId="13" xfId="79" applyNumberFormat="1" applyFont="1" applyFill="1" applyBorder="1" applyAlignment="1">
      <alignment horizontal="left" vertical="center" wrapText="1"/>
    </xf>
    <xf numFmtId="3" fontId="73" fillId="26" borderId="13" xfId="79" applyNumberFormat="1" applyFont="1" applyFill="1" applyBorder="1" applyAlignment="1">
      <alignment horizontal="center" vertical="center" wrapText="1"/>
    </xf>
    <xf numFmtId="1" fontId="107" fillId="30" borderId="13" xfId="0" applyNumberFormat="1" applyFont="1" applyFill="1" applyBorder="1" applyAlignment="1">
      <alignment horizontal="left"/>
    </xf>
    <xf numFmtId="3" fontId="108" fillId="30" borderId="13" xfId="355" applyNumberFormat="1" applyFont="1" applyFill="1" applyBorder="1" applyAlignment="1" applyProtection="1">
      <alignment horizontal="left" vertical="center"/>
      <protection locked="0"/>
    </xf>
    <xf numFmtId="0" fontId="106" fillId="30" borderId="13" xfId="355" applyFont="1" applyFill="1" applyBorder="1" applyAlignment="1" applyProtection="1">
      <alignment vertical="center"/>
    </xf>
    <xf numFmtId="0" fontId="2" fillId="30" borderId="13" xfId="355" applyFill="1" applyBorder="1" applyAlignment="1" applyProtection="1">
      <alignment vertical="center"/>
    </xf>
    <xf numFmtId="0" fontId="105" fillId="30" borderId="13" xfId="0" applyFont="1" applyFill="1" applyBorder="1" applyAlignment="1">
      <alignment horizontal="left" vertical="center" wrapText="1"/>
    </xf>
    <xf numFmtId="170" fontId="54" fillId="30" borderId="13" xfId="79" applyNumberFormat="1" applyFont="1" applyFill="1" applyBorder="1" applyAlignment="1">
      <alignment horizontal="center" vertical="center" wrapText="1"/>
    </xf>
    <xf numFmtId="0" fontId="106" fillId="30" borderId="13" xfId="355" applyFont="1" applyFill="1" applyBorder="1" applyAlignment="1" applyProtection="1">
      <alignment horizontal="center" vertical="center"/>
    </xf>
    <xf numFmtId="0" fontId="2" fillId="30" borderId="16" xfId="355" applyFill="1" applyBorder="1" applyAlignment="1" applyProtection="1">
      <alignment vertical="center"/>
    </xf>
    <xf numFmtId="1" fontId="105" fillId="0" borderId="13" xfId="0" applyNumberFormat="1" applyFont="1" applyBorder="1" applyAlignment="1">
      <alignment horizontal="left"/>
    </xf>
    <xf numFmtId="3" fontId="108" fillId="0" borderId="13" xfId="355" applyNumberFormat="1" applyFont="1" applyBorder="1" applyAlignment="1" applyProtection="1">
      <alignment horizontal="left" vertical="center"/>
      <protection locked="0"/>
    </xf>
    <xf numFmtId="0" fontId="105" fillId="26" borderId="13" xfId="0" applyFont="1" applyFill="1" applyBorder="1" applyAlignment="1">
      <alignment horizontal="left" vertical="center" wrapText="1"/>
    </xf>
    <xf numFmtId="170" fontId="54" fillId="26" borderId="13" xfId="79" applyNumberFormat="1" applyFont="1" applyFill="1" applyBorder="1" applyAlignment="1">
      <alignment horizontal="center" vertical="center" wrapText="1"/>
    </xf>
    <xf numFmtId="0" fontId="36" fillId="0" borderId="13" xfId="355" applyFont="1" applyBorder="1" applyAlignment="1" applyProtection="1">
      <alignment horizontal="left" vertical="center"/>
      <protection locked="0"/>
    </xf>
    <xf numFmtId="1" fontId="105" fillId="0" borderId="13" xfId="0" applyNumberFormat="1" applyFont="1" applyBorder="1" applyAlignment="1">
      <alignment horizontal="left" vertical="center"/>
    </xf>
    <xf numFmtId="1" fontId="0" fillId="0" borderId="13" xfId="0" applyNumberFormat="1" applyBorder="1" applyAlignment="1">
      <alignment horizontal="left"/>
    </xf>
    <xf numFmtId="3" fontId="106" fillId="0" borderId="13" xfId="355" applyNumberFormat="1" applyFont="1" applyBorder="1" applyAlignment="1" applyProtection="1">
      <alignment vertical="center"/>
    </xf>
    <xf numFmtId="0" fontId="108" fillId="30" borderId="13" xfId="355" applyFont="1" applyFill="1" applyBorder="1" applyAlignment="1" applyProtection="1">
      <alignment horizontal="left" vertical="center"/>
      <protection locked="0"/>
    </xf>
    <xf numFmtId="3" fontId="30" fillId="30" borderId="13" xfId="355" applyNumberFormat="1" applyFont="1" applyFill="1" applyBorder="1" applyAlignment="1" applyProtection="1">
      <alignment horizontal="center" vertical="center"/>
      <protection locked="0"/>
    </xf>
    <xf numFmtId="0" fontId="106" fillId="30" borderId="13" xfId="355" applyFont="1" applyFill="1" applyBorder="1" applyAlignment="1" applyProtection="1">
      <alignment horizontal="center" vertical="center"/>
      <protection locked="0"/>
    </xf>
    <xf numFmtId="0" fontId="2" fillId="30" borderId="13" xfId="355" applyFill="1" applyBorder="1" applyAlignment="1" applyProtection="1">
      <alignment vertical="center"/>
      <protection locked="0"/>
    </xf>
    <xf numFmtId="0" fontId="2" fillId="30" borderId="16" xfId="355" applyFill="1" applyBorder="1" applyAlignment="1" applyProtection="1">
      <alignment vertical="center"/>
      <protection locked="0"/>
    </xf>
    <xf numFmtId="3" fontId="81" fillId="0" borderId="13" xfId="79" applyNumberFormat="1" applyFont="1" applyBorder="1" applyAlignment="1">
      <alignment horizontal="left" vertical="center" wrapText="1"/>
    </xf>
    <xf numFmtId="0" fontId="106" fillId="0" borderId="13" xfId="355" applyFont="1" applyBorder="1" applyAlignment="1" applyProtection="1">
      <alignment horizontal="center" vertical="center"/>
      <protection locked="0"/>
    </xf>
    <xf numFmtId="0" fontId="2" fillId="0" borderId="16" xfId="355" applyBorder="1" applyAlignment="1" applyProtection="1">
      <alignment vertical="center"/>
      <protection locked="0"/>
    </xf>
    <xf numFmtId="1" fontId="105" fillId="0" borderId="13" xfId="0" applyNumberFormat="1" applyFont="1" applyBorder="1" applyAlignment="1">
      <alignment horizontal="center" vertical="center"/>
    </xf>
    <xf numFmtId="0" fontId="106" fillId="0" borderId="0" xfId="355" applyFont="1" applyAlignment="1" applyProtection="1">
      <alignment horizontal="center" vertical="center"/>
      <protection locked="0"/>
    </xf>
    <xf numFmtId="49" fontId="105" fillId="0" borderId="13" xfId="0" applyNumberFormat="1" applyFont="1" applyBorder="1" applyAlignment="1">
      <alignment horizontal="left" vertical="center"/>
    </xf>
    <xf numFmtId="3" fontId="81" fillId="0" borderId="24" xfId="79" applyNumberFormat="1" applyFont="1" applyBorder="1" applyAlignment="1">
      <alignment horizontal="left" vertical="center" wrapText="1"/>
    </xf>
    <xf numFmtId="3" fontId="73" fillId="0" borderId="24" xfId="79" applyNumberFormat="1" applyFont="1" applyBorder="1" applyAlignment="1">
      <alignment horizontal="center" vertical="center" wrapText="1"/>
    </xf>
    <xf numFmtId="0" fontId="36" fillId="30" borderId="13" xfId="355" applyFont="1" applyFill="1" applyBorder="1" applyAlignment="1" applyProtection="1">
      <alignment horizontal="left" vertical="center"/>
      <protection locked="0"/>
    </xf>
    <xf numFmtId="3" fontId="73" fillId="30" borderId="24" xfId="79" applyNumberFormat="1" applyFont="1" applyFill="1" applyBorder="1" applyAlignment="1">
      <alignment horizontal="left" vertical="center" wrapText="1"/>
    </xf>
    <xf numFmtId="170" fontId="105" fillId="30" borderId="13" xfId="79" applyNumberFormat="1" applyFont="1" applyFill="1" applyBorder="1" applyAlignment="1">
      <alignment horizontal="left" vertical="center" wrapText="1"/>
    </xf>
    <xf numFmtId="3" fontId="73" fillId="30" borderId="24" xfId="79" applyNumberFormat="1" applyFont="1" applyFill="1" applyBorder="1" applyAlignment="1">
      <alignment horizontal="center" vertical="center" wrapText="1"/>
    </xf>
    <xf numFmtId="0" fontId="105" fillId="0" borderId="13" xfId="0" applyFont="1" applyBorder="1" applyAlignment="1">
      <alignment horizontal="left" vertical="center" wrapText="1"/>
    </xf>
    <xf numFmtId="199" fontId="7" fillId="0" borderId="13" xfId="219" applyNumberFormat="1" applyFont="1" applyBorder="1" applyAlignment="1" applyProtection="1">
      <alignment vertical="center" wrapText="1"/>
    </xf>
    <xf numFmtId="3" fontId="2" fillId="0" borderId="13" xfId="355" applyNumberFormat="1" applyBorder="1" applyAlignment="1" applyProtection="1">
      <alignment vertical="center"/>
    </xf>
    <xf numFmtId="0" fontId="5" fillId="32" borderId="16" xfId="355" applyFont="1" applyFill="1" applyBorder="1" applyAlignment="1" applyProtection="1">
      <alignment horizontal="center" vertical="center"/>
      <protection locked="0"/>
    </xf>
    <xf numFmtId="0" fontId="5" fillId="31" borderId="13" xfId="355" applyFont="1" applyFill="1" applyBorder="1" applyAlignment="1" applyProtection="1">
      <alignment horizontal="center" vertical="center" wrapText="1"/>
      <protection locked="0"/>
    </xf>
    <xf numFmtId="0" fontId="109" fillId="0" borderId="13" xfId="355" applyFont="1" applyBorder="1" applyAlignment="1" applyProtection="1">
      <alignment vertical="center" wrapText="1"/>
    </xf>
    <xf numFmtId="193" fontId="109" fillId="0" borderId="13" xfId="355" applyNumberFormat="1" applyFont="1" applyBorder="1" applyAlignment="1" applyProtection="1">
      <alignment horizontal="center" vertical="center"/>
    </xf>
    <xf numFmtId="0" fontId="2" fillId="0" borderId="13" xfId="355" applyBorder="1" applyAlignment="1" applyProtection="1">
      <alignment horizontal="center" vertical="center" wrapText="1"/>
    </xf>
    <xf numFmtId="193" fontId="2" fillId="0" borderId="13" xfId="355" applyNumberFormat="1" applyFill="1" applyBorder="1" applyAlignment="1" applyProtection="1">
      <alignment horizontal="center" vertical="center"/>
    </xf>
    <xf numFmtId="172" fontId="2" fillId="0" borderId="13" xfId="355" applyNumberFormat="1" applyBorder="1" applyAlignment="1" applyProtection="1">
      <alignment horizontal="center" vertical="center"/>
    </xf>
    <xf numFmtId="9" fontId="2" fillId="0" borderId="13" xfId="355" applyNumberFormat="1" applyBorder="1" applyAlignment="1" applyProtection="1">
      <alignment vertical="center"/>
      <protection locked="0"/>
    </xf>
    <xf numFmtId="14" fontId="2" fillId="0" borderId="13" xfId="355" applyNumberFormat="1" applyBorder="1" applyAlignment="1" applyProtection="1">
      <alignment horizontal="center" vertical="center"/>
    </xf>
    <xf numFmtId="0" fontId="2" fillId="0" borderId="13" xfId="355" applyBorder="1" applyAlignment="1" applyProtection="1">
      <alignment vertical="center" wrapText="1"/>
      <protection locked="0"/>
    </xf>
    <xf numFmtId="0" fontId="2" fillId="0" borderId="13" xfId="355" applyBorder="1" applyAlignment="1" applyProtection="1">
      <alignment horizontal="left" vertical="center"/>
    </xf>
    <xf numFmtId="193" fontId="2" fillId="0" borderId="16" xfId="355" applyNumberFormat="1" applyBorder="1" applyAlignment="1" applyProtection="1">
      <alignment horizontal="center" vertical="center"/>
    </xf>
    <xf numFmtId="14" fontId="2" fillId="0" borderId="13" xfId="355" applyNumberFormat="1" applyBorder="1" applyAlignment="1" applyProtection="1">
      <alignment vertical="center"/>
      <protection locked="0"/>
    </xf>
    <xf numFmtId="0" fontId="2" fillId="0" borderId="13" xfId="355" applyBorder="1" applyAlignment="1" applyProtection="1">
      <alignment horizontal="left" vertical="center" wrapText="1"/>
    </xf>
    <xf numFmtId="0" fontId="109" fillId="0" borderId="13" xfId="355" applyFont="1" applyBorder="1" applyAlignment="1" applyProtection="1">
      <alignment horizontal="left" vertical="center" wrapText="1"/>
    </xf>
    <xf numFmtId="0" fontId="2" fillId="0" borderId="13" xfId="0" applyFont="1" applyFill="1" applyBorder="1" applyAlignment="1" applyProtection="1">
      <alignment vertical="center" wrapText="1"/>
    </xf>
    <xf numFmtId="193" fontId="109" fillId="0" borderId="0" xfId="355" applyNumberFormat="1" applyFont="1" applyAlignment="1" applyProtection="1">
      <alignment vertical="center"/>
    </xf>
    <xf numFmtId="0" fontId="5" fillId="0" borderId="0" xfId="355" applyFont="1" applyAlignment="1" applyProtection="1">
      <alignment vertical="center"/>
    </xf>
    <xf numFmtId="0" fontId="69" fillId="43" borderId="13" xfId="0" applyFont="1" applyFill="1" applyBorder="1" applyAlignment="1">
      <alignment horizontal="center" vertical="center"/>
    </xf>
    <xf numFmtId="0" fontId="75" fillId="43" borderId="13" xfId="0" applyFont="1" applyFill="1" applyBorder="1" applyAlignment="1">
      <alignment horizontal="center" vertical="center" wrapText="1"/>
    </xf>
    <xf numFmtId="9" fontId="110" fillId="43" borderId="13" xfId="437" applyFont="1" applyFill="1" applyBorder="1" applyAlignment="1">
      <alignment horizontal="center" vertical="center" wrapText="1"/>
    </xf>
    <xf numFmtId="0" fontId="64" fillId="0" borderId="0" xfId="0" applyFont="1" applyAlignment="1">
      <alignment vertical="center"/>
    </xf>
    <xf numFmtId="0" fontId="6" fillId="33" borderId="18" xfId="355" applyFont="1" applyFill="1" applyBorder="1" applyAlignment="1" applyProtection="1">
      <alignment horizontal="left" vertical="center" wrapText="1"/>
    </xf>
    <xf numFmtId="0" fontId="6" fillId="33" borderId="19" xfId="355" applyFont="1" applyFill="1" applyBorder="1" applyAlignment="1" applyProtection="1">
      <alignment horizontal="center" vertical="center" wrapText="1"/>
    </xf>
    <xf numFmtId="0" fontId="6" fillId="33" borderId="19" xfId="355" applyFont="1" applyFill="1" applyBorder="1" applyAlignment="1" applyProtection="1">
      <alignment horizontal="center" vertical="center" wrapText="1"/>
      <protection locked="0"/>
    </xf>
    <xf numFmtId="0" fontId="6" fillId="33" borderId="38" xfId="355" applyFont="1" applyFill="1" applyBorder="1" applyAlignment="1" applyProtection="1">
      <alignment horizontal="center" vertical="center" wrapText="1"/>
      <protection locked="0"/>
    </xf>
    <xf numFmtId="0" fontId="69" fillId="0" borderId="20" xfId="0" applyFont="1" applyBorder="1" applyAlignment="1">
      <alignment vertical="center"/>
    </xf>
    <xf numFmtId="193" fontId="3" fillId="0" borderId="13" xfId="355" applyNumberFormat="1" applyFont="1" applyBorder="1" applyAlignment="1" applyProtection="1">
      <alignment vertical="center" wrapText="1"/>
    </xf>
    <xf numFmtId="0" fontId="3" fillId="0" borderId="13" xfId="355" applyFont="1" applyBorder="1" applyAlignment="1" applyProtection="1">
      <alignment vertical="center" wrapText="1"/>
      <protection locked="0"/>
    </xf>
    <xf numFmtId="0" fontId="6" fillId="33" borderId="12" xfId="355" applyFont="1" applyFill="1" applyBorder="1" applyAlignment="1" applyProtection="1">
      <alignment horizontal="left" vertical="center" wrapText="1"/>
    </xf>
    <xf numFmtId="0" fontId="3" fillId="33" borderId="13" xfId="355" applyFont="1" applyFill="1" applyBorder="1" applyAlignment="1" applyProtection="1">
      <alignment vertical="center" wrapText="1"/>
    </xf>
    <xf numFmtId="166" fontId="3" fillId="33" borderId="13" xfId="216" applyFont="1" applyFill="1" applyBorder="1" applyAlignment="1" applyProtection="1">
      <alignment horizontal="center" vertical="center" wrapText="1"/>
    </xf>
    <xf numFmtId="193" fontId="3" fillId="33" borderId="13" xfId="355" applyNumberFormat="1" applyFont="1" applyFill="1" applyBorder="1" applyAlignment="1" applyProtection="1">
      <alignment vertical="center" wrapText="1"/>
    </xf>
    <xf numFmtId="0" fontId="3" fillId="33" borderId="16" xfId="355" applyFont="1" applyFill="1" applyBorder="1" applyAlignment="1" applyProtection="1">
      <alignment vertical="center" wrapText="1"/>
    </xf>
    <xf numFmtId="0" fontId="3" fillId="33" borderId="13" xfId="355" applyFont="1" applyFill="1" applyBorder="1" applyAlignment="1" applyProtection="1">
      <alignment horizontal="left" vertical="center" wrapText="1"/>
    </xf>
    <xf numFmtId="166" fontId="3" fillId="33" borderId="13" xfId="355" applyNumberFormat="1" applyFont="1" applyFill="1" applyBorder="1" applyAlignment="1" applyProtection="1">
      <alignment vertical="center" wrapText="1"/>
    </xf>
    <xf numFmtId="0" fontId="3" fillId="0" borderId="33" xfId="355" applyFont="1" applyBorder="1" applyAlignment="1" applyProtection="1">
      <alignment horizontal="left" vertical="center" wrapText="1"/>
    </xf>
    <xf numFmtId="0" fontId="3" fillId="0" borderId="21" xfId="355" applyFont="1" applyBorder="1" applyAlignment="1" applyProtection="1">
      <alignment horizontal="left" vertical="center" wrapText="1"/>
    </xf>
    <xf numFmtId="0" fontId="3" fillId="0" borderId="21" xfId="355" applyFont="1" applyBorder="1" applyAlignment="1" applyProtection="1">
      <alignment vertical="center" wrapText="1"/>
    </xf>
    <xf numFmtId="0" fontId="3" fillId="0" borderId="22" xfId="355" applyFont="1" applyBorder="1" applyAlignment="1" applyProtection="1">
      <alignment vertical="center" wrapText="1"/>
    </xf>
    <xf numFmtId="0" fontId="3" fillId="0" borderId="0" xfId="355" applyFont="1" applyBorder="1" applyAlignment="1" applyProtection="1">
      <alignment horizontal="left" vertical="center"/>
    </xf>
    <xf numFmtId="0" fontId="3" fillId="0" borderId="0" xfId="355" applyFont="1" applyBorder="1" applyAlignment="1" applyProtection="1">
      <alignment vertical="center"/>
    </xf>
    <xf numFmtId="0" fontId="3" fillId="0" borderId="0" xfId="355" applyFont="1" applyBorder="1" applyAlignment="1" applyProtection="1">
      <alignment vertical="center" wrapText="1"/>
    </xf>
    <xf numFmtId="0" fontId="78" fillId="0" borderId="0" xfId="0" applyFont="1" applyAlignment="1">
      <alignment vertical="center"/>
    </xf>
    <xf numFmtId="0" fontId="7" fillId="0" borderId="0" xfId="355" applyFont="1" applyBorder="1" applyAlignment="1" applyProtection="1">
      <alignment horizontal="left" vertical="center" wrapText="1"/>
    </xf>
    <xf numFmtId="0" fontId="7" fillId="0" borderId="0" xfId="355" applyFont="1" applyBorder="1" applyAlignment="1" applyProtection="1">
      <alignment horizontal="left" vertical="center"/>
    </xf>
    <xf numFmtId="0" fontId="7" fillId="0" borderId="0" xfId="355" applyFont="1" applyBorder="1" applyAlignment="1" applyProtection="1">
      <alignment vertical="center"/>
    </xf>
    <xf numFmtId="0" fontId="7" fillId="0" borderId="0" xfId="355" applyFont="1" applyBorder="1" applyAlignment="1" applyProtection="1">
      <alignment vertical="center" wrapText="1"/>
    </xf>
    <xf numFmtId="0" fontId="78" fillId="31" borderId="0" xfId="0" applyFont="1" applyFill="1" applyAlignment="1">
      <alignment vertical="center"/>
    </xf>
    <xf numFmtId="0" fontId="6" fillId="0" borderId="0" xfId="355" applyFont="1" applyAlignment="1" applyProtection="1">
      <alignment vertical="center"/>
    </xf>
    <xf numFmtId="193" fontId="3" fillId="0" borderId="0" xfId="355" applyNumberFormat="1" applyFont="1" applyBorder="1" applyAlignment="1" applyProtection="1">
      <alignment horizontal="center" vertical="center"/>
    </xf>
    <xf numFmtId="166" fontId="3" fillId="0" borderId="0" xfId="355" applyNumberFormat="1" applyFont="1" applyAlignment="1" applyProtection="1">
      <alignment vertical="center"/>
    </xf>
    <xf numFmtId="0" fontId="69" fillId="31" borderId="0" xfId="0" applyFont="1" applyFill="1" applyBorder="1" applyAlignment="1">
      <alignment vertical="center"/>
    </xf>
    <xf numFmtId="0" fontId="0" fillId="31" borderId="0" xfId="0" applyFill="1"/>
    <xf numFmtId="0" fontId="0" fillId="31" borderId="13" xfId="0" applyFill="1" applyBorder="1"/>
    <xf numFmtId="1" fontId="69" fillId="31" borderId="0" xfId="0" applyNumberFormat="1" applyFont="1" applyFill="1" applyBorder="1" applyAlignment="1">
      <alignment horizontal="center" vertical="center"/>
    </xf>
    <xf numFmtId="0" fontId="0" fillId="31" borderId="0" xfId="0" applyFill="1" applyAlignment="1">
      <alignment horizontal="center"/>
    </xf>
    <xf numFmtId="0" fontId="70" fillId="31" borderId="0" xfId="0" applyFont="1" applyFill="1" applyBorder="1" applyAlignment="1">
      <alignment vertical="center"/>
    </xf>
    <xf numFmtId="196" fontId="64" fillId="31" borderId="0" xfId="437" applyNumberFormat="1" applyFont="1" applyFill="1" applyAlignment="1">
      <alignment horizontal="center"/>
    </xf>
    <xf numFmtId="0" fontId="64" fillId="31" borderId="0" xfId="0" applyFont="1" applyFill="1"/>
    <xf numFmtId="0" fontId="6" fillId="0" borderId="24" xfId="355" applyFont="1" applyFill="1" applyBorder="1" applyAlignment="1" applyProtection="1">
      <alignment horizontal="center" vertical="center" wrapText="1"/>
    </xf>
    <xf numFmtId="171" fontId="6" fillId="0" borderId="24" xfId="212" applyNumberFormat="1" applyFont="1" applyFill="1" applyBorder="1" applyAlignment="1" applyProtection="1">
      <alignment horizontal="center" vertical="center" wrapText="1"/>
    </xf>
    <xf numFmtId="171" fontId="2" fillId="0" borderId="13" xfId="212" applyNumberFormat="1" applyFont="1" applyBorder="1" applyAlignment="1" applyProtection="1">
      <alignment horizontal="center" vertical="center"/>
    </xf>
    <xf numFmtId="0" fontId="2" fillId="0" borderId="13" xfId="427" applyFont="1" applyFill="1" applyBorder="1" applyAlignment="1">
      <alignment vertical="center" wrapText="1"/>
    </xf>
    <xf numFmtId="172" fontId="2" fillId="44" borderId="13" xfId="429" applyNumberFormat="1" applyFont="1" applyFill="1" applyBorder="1" applyAlignment="1">
      <alignment horizontal="center" vertical="center" wrapText="1"/>
    </xf>
    <xf numFmtId="14" fontId="2" fillId="0" borderId="0" xfId="355" applyNumberFormat="1" applyAlignment="1" applyProtection="1">
      <alignment vertical="center"/>
    </xf>
    <xf numFmtId="14" fontId="2" fillId="0" borderId="0" xfId="355" applyNumberFormat="1" applyAlignment="1" applyProtection="1">
      <alignment vertical="center"/>
      <protection locked="0"/>
    </xf>
    <xf numFmtId="0" fontId="112" fillId="0" borderId="13" xfId="355" applyFont="1" applyBorder="1" applyAlignment="1" applyProtection="1">
      <alignment horizontal="center" vertical="center"/>
    </xf>
    <xf numFmtId="0" fontId="2" fillId="31" borderId="0" xfId="355" applyFill="1" applyAlignment="1" applyProtection="1">
      <alignment vertical="center"/>
      <protection locked="0"/>
    </xf>
    <xf numFmtId="0" fontId="2" fillId="34" borderId="0" xfId="355" applyFill="1" applyAlignment="1" applyProtection="1">
      <alignment vertical="center"/>
      <protection locked="0"/>
    </xf>
    <xf numFmtId="0" fontId="6" fillId="34" borderId="13" xfId="355" applyFont="1" applyFill="1" applyBorder="1" applyAlignment="1" applyProtection="1">
      <alignment horizontal="center" vertical="center"/>
      <protection locked="0"/>
    </xf>
    <xf numFmtId="194" fontId="72" fillId="0" borderId="0" xfId="201" applyFont="1" applyAlignment="1">
      <alignment vertical="center" wrapText="1"/>
    </xf>
    <xf numFmtId="170" fontId="88" fillId="0" borderId="13" xfId="79" applyNumberFormat="1" applyFont="1" applyBorder="1" applyAlignment="1">
      <alignment horizontal="justify" vertical="center" wrapText="1"/>
    </xf>
    <xf numFmtId="170" fontId="88" fillId="0" borderId="13" xfId="79" applyNumberFormat="1" applyFont="1" applyBorder="1" applyAlignment="1">
      <alignment horizontal="justify" vertical="center"/>
    </xf>
    <xf numFmtId="1" fontId="72" fillId="0" borderId="13" xfId="0" applyNumberFormat="1" applyFont="1" applyBorder="1" applyAlignment="1">
      <alignment vertical="center"/>
    </xf>
    <xf numFmtId="170" fontId="72" fillId="0" borderId="13" xfId="79" applyNumberFormat="1" applyFont="1" applyBorder="1" applyAlignment="1">
      <alignment horizontal="center" vertical="center" wrapText="1"/>
    </xf>
    <xf numFmtId="170" fontId="72" fillId="0" borderId="13" xfId="79" applyNumberFormat="1" applyFont="1" applyBorder="1" applyAlignment="1">
      <alignment horizontal="justify" vertical="center" wrapText="1"/>
    </xf>
    <xf numFmtId="170" fontId="72" fillId="0" borderId="16" xfId="79" applyNumberFormat="1" applyFont="1" applyBorder="1" applyAlignment="1">
      <alignment horizontal="center" vertical="center"/>
    </xf>
    <xf numFmtId="170" fontId="72" fillId="0" borderId="20" xfId="79" applyNumberFormat="1" applyFont="1" applyBorder="1" applyAlignment="1">
      <alignment horizontal="justify" vertical="center"/>
    </xf>
    <xf numFmtId="170" fontId="72" fillId="0" borderId="13" xfId="79" applyNumberFormat="1" applyFont="1" applyBorder="1" applyAlignment="1">
      <alignment horizontal="justify" vertical="center"/>
    </xf>
    <xf numFmtId="0" fontId="85" fillId="31" borderId="13" xfId="0" applyFont="1" applyFill="1" applyBorder="1" applyAlignment="1">
      <alignment wrapText="1"/>
    </xf>
    <xf numFmtId="1" fontId="72" fillId="0" borderId="13" xfId="0" applyNumberFormat="1" applyFont="1" applyBorder="1"/>
    <xf numFmtId="0" fontId="72" fillId="0" borderId="13" xfId="0" applyFont="1" applyBorder="1" applyAlignment="1">
      <alignment wrapText="1"/>
    </xf>
    <xf numFmtId="0" fontId="2" fillId="45" borderId="0" xfId="355" applyFill="1" applyBorder="1" applyAlignment="1" applyProtection="1">
      <alignment vertical="center"/>
      <protection locked="0"/>
    </xf>
    <xf numFmtId="200" fontId="2" fillId="0" borderId="16" xfId="355" applyNumberFormat="1" applyBorder="1" applyAlignment="1" applyProtection="1">
      <alignment vertical="center"/>
    </xf>
    <xf numFmtId="0" fontId="5" fillId="32" borderId="35" xfId="355" applyFont="1" applyFill="1" applyBorder="1" applyAlignment="1" applyProtection="1">
      <alignment horizontal="center" vertical="center"/>
      <protection locked="0"/>
    </xf>
    <xf numFmtId="0" fontId="36" fillId="0" borderId="0" xfId="355" applyFont="1" applyAlignment="1" applyProtection="1">
      <alignment vertical="center"/>
      <protection locked="0"/>
    </xf>
    <xf numFmtId="17" fontId="112" fillId="39" borderId="13" xfId="355" applyNumberFormat="1" applyFont="1" applyFill="1" applyBorder="1" applyAlignment="1" applyProtection="1">
      <alignment horizontal="center" vertical="center"/>
    </xf>
    <xf numFmtId="0" fontId="113" fillId="46" borderId="18" xfId="368" applyFont="1" applyFill="1" applyBorder="1" applyAlignment="1" applyProtection="1">
      <alignment horizontal="left" vertical="center" wrapText="1"/>
      <protection locked="0"/>
    </xf>
    <xf numFmtId="168" fontId="2" fillId="39" borderId="13" xfId="355" applyNumberFormat="1" applyFill="1" applyBorder="1" applyAlignment="1" applyProtection="1">
      <alignment vertical="center"/>
    </xf>
    <xf numFmtId="168" fontId="2" fillId="39" borderId="13" xfId="355" applyNumberFormat="1" applyFill="1" applyBorder="1" applyAlignment="1" applyProtection="1">
      <alignment horizontal="center" vertical="center"/>
    </xf>
    <xf numFmtId="0" fontId="2" fillId="39" borderId="13" xfId="355" applyFill="1" applyBorder="1" applyAlignment="1" applyProtection="1">
      <alignment vertical="center"/>
    </xf>
    <xf numFmtId="0" fontId="2" fillId="39" borderId="13" xfId="355" applyFill="1" applyBorder="1" applyAlignment="1" applyProtection="1">
      <alignment vertical="center"/>
      <protection locked="0"/>
    </xf>
    <xf numFmtId="0" fontId="2" fillId="39" borderId="13" xfId="355" applyFill="1" applyBorder="1" applyAlignment="1" applyProtection="1">
      <alignment horizontal="center" vertical="center"/>
    </xf>
    <xf numFmtId="0" fontId="2" fillId="0" borderId="0" xfId="355" applyAlignment="1" applyProtection="1">
      <alignment horizontal="center" vertical="center"/>
    </xf>
    <xf numFmtId="17" fontId="112" fillId="0" borderId="13" xfId="355" applyNumberFormat="1" applyFont="1" applyBorder="1" applyAlignment="1" applyProtection="1">
      <alignment vertical="center"/>
    </xf>
    <xf numFmtId="17" fontId="112" fillId="39" borderId="13" xfId="355" applyNumberFormat="1" applyFont="1" applyFill="1" applyBorder="1" applyAlignment="1" applyProtection="1">
      <alignment vertical="center"/>
    </xf>
    <xf numFmtId="0" fontId="5" fillId="47" borderId="0" xfId="355" applyFont="1" applyFill="1" applyAlignment="1" applyProtection="1">
      <alignment vertical="center"/>
      <protection locked="0"/>
    </xf>
    <xf numFmtId="196" fontId="5" fillId="47" borderId="0" xfId="437" applyNumberFormat="1" applyFont="1" applyFill="1" applyAlignment="1" applyProtection="1">
      <alignment vertical="center"/>
      <protection locked="0"/>
    </xf>
    <xf numFmtId="196" fontId="2" fillId="0" borderId="0" xfId="355" applyNumberFormat="1" applyAlignment="1" applyProtection="1">
      <alignment vertical="center"/>
      <protection locked="0"/>
    </xf>
    <xf numFmtId="0" fontId="6" fillId="31" borderId="17" xfId="355" applyFont="1" applyFill="1" applyBorder="1" applyAlignment="1" applyProtection="1">
      <alignment horizontal="center" vertical="center" wrapText="1"/>
    </xf>
    <xf numFmtId="0" fontId="75" fillId="0" borderId="20" xfId="0" applyFont="1" applyBorder="1" applyAlignment="1">
      <alignment horizontal="center" vertical="center" wrapText="1"/>
    </xf>
    <xf numFmtId="0" fontId="69" fillId="0" borderId="20" xfId="0" applyFont="1" applyBorder="1" applyAlignment="1">
      <alignment horizontal="center" vertical="center"/>
    </xf>
    <xf numFmtId="0" fontId="6" fillId="31" borderId="17" xfId="355" applyFont="1" applyFill="1" applyBorder="1" applyAlignment="1" applyProtection="1">
      <alignment horizontal="center" vertical="center" wrapText="1"/>
    </xf>
    <xf numFmtId="0" fontId="2" fillId="0" borderId="12" xfId="355" applyBorder="1" applyAlignment="1" applyProtection="1">
      <alignment vertical="center"/>
      <protection locked="0"/>
    </xf>
    <xf numFmtId="0" fontId="2" fillId="0" borderId="31" xfId="355" applyBorder="1" applyAlignment="1" applyProtection="1">
      <alignment vertical="center"/>
      <protection locked="0"/>
    </xf>
    <xf numFmtId="0" fontId="2" fillId="0" borderId="16" xfId="355" applyBorder="1" applyAlignment="1" applyProtection="1">
      <alignment vertical="center" wrapText="1"/>
      <protection locked="0"/>
    </xf>
    <xf numFmtId="0" fontId="2" fillId="39" borderId="16" xfId="355" applyFill="1" applyBorder="1" applyAlignment="1" applyProtection="1">
      <alignment vertical="center"/>
      <protection locked="0"/>
    </xf>
    <xf numFmtId="0" fontId="2" fillId="0" borderId="16" xfId="355" applyBorder="1" applyAlignment="1" applyProtection="1">
      <alignment horizontal="left" vertical="center" wrapText="1"/>
      <protection locked="0"/>
    </xf>
    <xf numFmtId="0" fontId="2" fillId="0" borderId="18" xfId="355" applyBorder="1" applyAlignment="1" applyProtection="1">
      <alignment vertical="center"/>
      <protection locked="0"/>
    </xf>
    <xf numFmtId="0" fontId="2" fillId="0" borderId="41" xfId="355" applyBorder="1" applyAlignment="1" applyProtection="1">
      <alignment vertical="center"/>
      <protection locked="0"/>
    </xf>
    <xf numFmtId="0" fontId="114" fillId="31" borderId="16" xfId="355" applyFont="1" applyFill="1" applyBorder="1" applyAlignment="1" applyProtection="1">
      <alignment horizontal="center" vertical="center" wrapText="1"/>
    </xf>
    <xf numFmtId="0" fontId="114" fillId="31" borderId="17" xfId="355" applyFont="1" applyFill="1" applyBorder="1" applyAlignment="1" applyProtection="1">
      <alignment horizontal="center" vertical="center" wrapText="1"/>
    </xf>
    <xf numFmtId="0" fontId="75" fillId="0" borderId="16" xfId="0" applyFont="1" applyBorder="1" applyAlignment="1">
      <alignment horizontal="center" vertical="center" wrapText="1"/>
    </xf>
    <xf numFmtId="0" fontId="115" fillId="0" borderId="0" xfId="0" applyFont="1" applyBorder="1" applyAlignment="1">
      <alignment horizontal="center" vertical="center" wrapText="1"/>
    </xf>
    <xf numFmtId="3" fontId="114" fillId="33" borderId="16" xfId="428" applyNumberFormat="1" applyFont="1" applyFill="1" applyBorder="1" applyAlignment="1">
      <alignment horizontal="center" vertical="center" wrapText="1"/>
    </xf>
    <xf numFmtId="3" fontId="114" fillId="33" borderId="16" xfId="428" applyNumberFormat="1" applyFont="1" applyFill="1" applyBorder="1" applyAlignment="1">
      <alignment horizontal="center" vertical="top" wrapText="1"/>
    </xf>
    <xf numFmtId="3" fontId="114" fillId="33" borderId="16" xfId="428" applyNumberFormat="1" applyFont="1" applyFill="1" applyBorder="1" applyAlignment="1">
      <alignment horizontal="center" wrapText="1"/>
    </xf>
    <xf numFmtId="174" fontId="115" fillId="26" borderId="35" xfId="347" applyFont="1" applyFill="1" applyBorder="1" applyAlignment="1">
      <alignment vertical="center" wrapText="1"/>
    </xf>
    <xf numFmtId="174" fontId="115" fillId="26" borderId="16" xfId="347" applyFont="1" applyFill="1" applyBorder="1" applyAlignment="1">
      <alignment vertical="center" wrapText="1"/>
    </xf>
    <xf numFmtId="0" fontId="69" fillId="0" borderId="18" xfId="0" applyFont="1" applyBorder="1" applyAlignment="1">
      <alignment horizontal="center" vertical="center"/>
    </xf>
    <xf numFmtId="0" fontId="75" fillId="0" borderId="41" xfId="0" applyFont="1" applyBorder="1" applyAlignment="1">
      <alignment horizontal="center" vertical="center" wrapText="1"/>
    </xf>
    <xf numFmtId="0" fontId="69" fillId="0" borderId="12" xfId="0" applyFont="1" applyBorder="1" applyAlignment="1">
      <alignment horizontal="center" vertical="center"/>
    </xf>
    <xf numFmtId="0" fontId="75" fillId="0" borderId="31" xfId="0" applyFont="1" applyBorder="1" applyAlignment="1">
      <alignment horizontal="center" vertical="center" wrapText="1"/>
    </xf>
    <xf numFmtId="0" fontId="115" fillId="0" borderId="31" xfId="0" applyFont="1" applyBorder="1" applyAlignment="1">
      <alignment horizontal="center" vertical="center" wrapText="1"/>
    </xf>
    <xf numFmtId="3" fontId="6" fillId="33" borderId="12" xfId="428" applyNumberFormat="1" applyFont="1" applyFill="1" applyBorder="1" applyAlignment="1">
      <alignment horizontal="center" vertical="center" wrapText="1"/>
    </xf>
    <xf numFmtId="3" fontId="114" fillId="33" borderId="31" xfId="428" applyNumberFormat="1" applyFont="1" applyFill="1" applyBorder="1" applyAlignment="1">
      <alignment horizontal="center" vertical="center" wrapText="1"/>
    </xf>
    <xf numFmtId="3" fontId="6" fillId="33" borderId="12" xfId="428" applyNumberFormat="1" applyFont="1" applyFill="1" applyBorder="1" applyAlignment="1">
      <alignment horizontal="center" vertical="top" wrapText="1"/>
    </xf>
    <xf numFmtId="3" fontId="114" fillId="33" borderId="31" xfId="428" applyNumberFormat="1" applyFont="1" applyFill="1" applyBorder="1" applyAlignment="1">
      <alignment horizontal="center" vertical="top" wrapText="1"/>
    </xf>
    <xf numFmtId="3" fontId="6" fillId="33" borderId="12" xfId="428" applyNumberFormat="1" applyFont="1" applyFill="1" applyBorder="1" applyAlignment="1">
      <alignment horizontal="center" wrapText="1"/>
    </xf>
    <xf numFmtId="3" fontId="114" fillId="33" borderId="31" xfId="428" applyNumberFormat="1" applyFont="1" applyFill="1" applyBorder="1" applyAlignment="1">
      <alignment horizontal="center" wrapText="1"/>
    </xf>
    <xf numFmtId="174" fontId="115" fillId="26" borderId="31" xfId="347" applyFont="1" applyFill="1" applyBorder="1" applyAlignment="1">
      <alignment vertical="center" wrapText="1"/>
    </xf>
    <xf numFmtId="3" fontId="69" fillId="0" borderId="12" xfId="0" applyNumberFormat="1" applyFont="1" applyBorder="1" applyAlignment="1">
      <alignment horizontal="center" vertical="center"/>
    </xf>
    <xf numFmtId="0" fontId="69" fillId="0" borderId="33" xfId="0" applyFont="1" applyBorder="1" applyAlignment="1">
      <alignment horizontal="center" vertical="center"/>
    </xf>
    <xf numFmtId="0" fontId="75" fillId="0" borderId="40" xfId="0" applyFont="1" applyBorder="1" applyAlignment="1">
      <alignment horizontal="center" vertical="center" wrapText="1"/>
    </xf>
    <xf numFmtId="3" fontId="2" fillId="26" borderId="16" xfId="355" applyNumberFormat="1" applyFont="1" applyFill="1" applyBorder="1" applyAlignment="1" applyProtection="1">
      <alignment horizontal="center" vertical="center"/>
    </xf>
    <xf numFmtId="0" fontId="0" fillId="0" borderId="13" xfId="0" applyBorder="1" applyAlignment="1">
      <alignment wrapText="1"/>
    </xf>
    <xf numFmtId="0" fontId="6" fillId="32" borderId="47" xfId="355" applyFont="1" applyFill="1" applyBorder="1" applyAlignment="1" applyProtection="1">
      <alignment horizontal="center" vertical="center"/>
      <protection locked="0"/>
    </xf>
    <xf numFmtId="0" fontId="6" fillId="32" borderId="42" xfId="355" applyFont="1" applyFill="1" applyBorder="1" applyAlignment="1" applyProtection="1">
      <alignment horizontal="center" vertical="center"/>
      <protection locked="0"/>
    </xf>
    <xf numFmtId="0" fontId="121" fillId="0" borderId="13" xfId="0" applyFont="1" applyBorder="1" applyAlignment="1">
      <alignment wrapText="1"/>
    </xf>
    <xf numFmtId="0" fontId="121" fillId="0" borderId="13" xfId="0" applyFont="1" applyBorder="1" applyAlignment="1">
      <alignment horizontal="center" vertical="center" wrapText="1"/>
    </xf>
    <xf numFmtId="0" fontId="4" fillId="26" borderId="13" xfId="0" applyFont="1" applyFill="1" applyBorder="1" applyAlignment="1">
      <alignment horizontal="center" vertical="center" wrapText="1"/>
    </xf>
    <xf numFmtId="0" fontId="3" fillId="33" borderId="13" xfId="355" applyFont="1" applyFill="1" applyBorder="1" applyAlignment="1" applyProtection="1">
      <alignment vertical="center" wrapText="1"/>
      <protection locked="0"/>
    </xf>
    <xf numFmtId="0" fontId="0" fillId="0" borderId="13" xfId="0" applyBorder="1" applyAlignment="1">
      <alignment horizontal="center" vertical="center"/>
    </xf>
    <xf numFmtId="14" fontId="4" fillId="26" borderId="13" xfId="437" applyNumberFormat="1" applyFont="1" applyFill="1" applyBorder="1" applyAlignment="1">
      <alignment horizontal="center" wrapText="1"/>
    </xf>
    <xf numFmtId="0" fontId="121" fillId="0" borderId="13" xfId="0" applyFont="1" applyBorder="1" applyAlignment="1">
      <alignment horizontal="center" wrapText="1"/>
    </xf>
    <xf numFmtId="196" fontId="4" fillId="26" borderId="13" xfId="437" applyNumberFormat="1" applyFont="1" applyFill="1" applyBorder="1" applyAlignment="1">
      <alignment horizontal="center" vertical="center" wrapText="1"/>
    </xf>
    <xf numFmtId="14" fontId="4" fillId="26" borderId="13" xfId="437" applyNumberFormat="1" applyFont="1" applyFill="1" applyBorder="1" applyAlignment="1">
      <alignment horizontal="center" vertical="center" wrapText="1"/>
    </xf>
    <xf numFmtId="171" fontId="0" fillId="0" borderId="0" xfId="0" applyNumberFormat="1"/>
    <xf numFmtId="0" fontId="4" fillId="0" borderId="13" xfId="0" applyFont="1" applyBorder="1" applyAlignment="1">
      <alignment horizontal="center" vertical="center" wrapText="1"/>
    </xf>
    <xf numFmtId="0" fontId="78" fillId="31" borderId="0" xfId="0" applyFont="1" applyFill="1" applyBorder="1" applyAlignment="1">
      <alignment horizontal="center" vertical="center"/>
    </xf>
    <xf numFmtId="9" fontId="78" fillId="31" borderId="0" xfId="0" applyNumberFormat="1" applyFont="1" applyFill="1"/>
    <xf numFmtId="0" fontId="3" fillId="0" borderId="13" xfId="355" applyFont="1" applyBorder="1" applyAlignment="1" applyProtection="1">
      <alignment horizontal="center" vertical="center"/>
    </xf>
    <xf numFmtId="0" fontId="6" fillId="31" borderId="24" xfId="355" applyFont="1" applyFill="1" applyBorder="1" applyAlignment="1" applyProtection="1">
      <alignment horizontal="center" vertical="center" wrapText="1"/>
    </xf>
    <xf numFmtId="0" fontId="6" fillId="31" borderId="47" xfId="355"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xf>
    <xf numFmtId="0" fontId="6" fillId="31" borderId="17" xfId="355" applyFont="1" applyFill="1" applyBorder="1" applyAlignment="1" applyProtection="1">
      <alignment horizontal="center" vertical="center" wrapText="1"/>
    </xf>
    <xf numFmtId="0" fontId="3" fillId="0" borderId="12" xfId="355" applyFont="1" applyBorder="1" applyAlignment="1" applyProtection="1">
      <alignment horizontal="left" vertical="center" wrapText="1"/>
    </xf>
    <xf numFmtId="0" fontId="3" fillId="0" borderId="13" xfId="355" applyFont="1" applyBorder="1" applyAlignment="1" applyProtection="1">
      <alignment horizontal="left" vertical="center" wrapText="1"/>
    </xf>
    <xf numFmtId="0" fontId="6" fillId="31" borderId="13" xfId="355" applyFont="1" applyFill="1" applyBorder="1" applyAlignment="1" applyProtection="1">
      <alignment horizontal="center" vertical="center" wrapText="1"/>
    </xf>
    <xf numFmtId="0" fontId="2" fillId="45" borderId="0" xfId="355" applyFill="1" applyAlignment="1" applyProtection="1">
      <alignment vertical="center"/>
      <protection locked="0"/>
    </xf>
    <xf numFmtId="0" fontId="2" fillId="45" borderId="35" xfId="355" applyFill="1" applyBorder="1" applyAlignment="1" applyProtection="1">
      <alignment vertical="center"/>
      <protection locked="0"/>
    </xf>
    <xf numFmtId="0" fontId="2" fillId="45" borderId="62" xfId="355" applyFill="1" applyBorder="1" applyAlignment="1" applyProtection="1">
      <alignment vertical="center"/>
      <protection locked="0"/>
    </xf>
    <xf numFmtId="0" fontId="2" fillId="45" borderId="30" xfId="355" applyFill="1" applyBorder="1" applyAlignment="1" applyProtection="1">
      <alignment vertical="center"/>
      <protection locked="0"/>
    </xf>
    <xf numFmtId="0" fontId="2" fillId="45" borderId="52" xfId="355" applyFill="1" applyBorder="1" applyAlignment="1" applyProtection="1">
      <alignment vertical="center"/>
      <protection locked="0"/>
    </xf>
    <xf numFmtId="0" fontId="2" fillId="45" borderId="29" xfId="355" applyFill="1" applyBorder="1" applyAlignment="1" applyProtection="1">
      <alignment vertical="center"/>
      <protection locked="0"/>
    </xf>
    <xf numFmtId="0" fontId="74" fillId="31" borderId="39" xfId="355" applyFont="1" applyFill="1" applyBorder="1" applyAlignment="1" applyProtection="1">
      <alignment horizontal="centerContinuous" vertical="center"/>
    </xf>
    <xf numFmtId="0" fontId="74" fillId="31" borderId="0" xfId="355" applyFont="1" applyFill="1" applyAlignment="1" applyProtection="1">
      <alignment horizontal="centerContinuous" vertical="center"/>
    </xf>
    <xf numFmtId="0" fontId="2" fillId="31" borderId="52" xfId="355" applyFill="1" applyBorder="1" applyAlignment="1" applyProtection="1">
      <alignment vertical="center"/>
      <protection locked="0"/>
    </xf>
    <xf numFmtId="0" fontId="2" fillId="31" borderId="0" xfId="355" applyFill="1" applyBorder="1" applyAlignment="1" applyProtection="1">
      <alignment vertical="center"/>
      <protection locked="0"/>
    </xf>
    <xf numFmtId="0" fontId="2" fillId="31" borderId="29" xfId="355" applyFill="1" applyBorder="1" applyAlignment="1" applyProtection="1">
      <alignment vertical="center"/>
      <protection locked="0"/>
    </xf>
    <xf numFmtId="0" fontId="2" fillId="31" borderId="39" xfId="355" applyFill="1" applyBorder="1" applyAlignment="1" applyProtection="1">
      <alignment vertical="center"/>
      <protection locked="0"/>
    </xf>
    <xf numFmtId="0" fontId="2" fillId="31" borderId="58" xfId="355" applyFill="1" applyBorder="1" applyAlignment="1" applyProtection="1">
      <alignment vertical="center"/>
      <protection locked="0"/>
    </xf>
    <xf numFmtId="0" fontId="2" fillId="31" borderId="32" xfId="355" applyFill="1" applyBorder="1" applyAlignment="1" applyProtection="1">
      <alignment vertical="center"/>
      <protection locked="0"/>
    </xf>
    <xf numFmtId="0" fontId="2" fillId="41" borderId="13" xfId="355" applyFill="1" applyBorder="1" applyAlignment="1" applyProtection="1">
      <alignment vertical="center"/>
      <protection locked="0"/>
    </xf>
    <xf numFmtId="0" fontId="4" fillId="26" borderId="13" xfId="355" applyFont="1" applyFill="1" applyBorder="1" applyAlignment="1" applyProtection="1">
      <alignment vertical="center"/>
      <protection locked="0"/>
    </xf>
    <xf numFmtId="170" fontId="0" fillId="0" borderId="13" xfId="79" applyNumberFormat="1" applyFont="1" applyBorder="1" applyAlignment="1">
      <alignment vertical="center"/>
    </xf>
    <xf numFmtId="170" fontId="0" fillId="0" borderId="16" xfId="79" applyNumberFormat="1" applyFont="1" applyBorder="1" applyAlignment="1">
      <alignment horizontal="center" vertical="center"/>
    </xf>
    <xf numFmtId="0" fontId="2" fillId="41" borderId="13" xfId="355" applyFill="1" applyBorder="1" applyAlignment="1" applyProtection="1">
      <alignment horizontal="center" vertical="center"/>
      <protection locked="0"/>
    </xf>
    <xf numFmtId="0" fontId="2" fillId="41" borderId="13" xfId="355" applyFill="1" applyBorder="1" applyAlignment="1" applyProtection="1">
      <alignment vertical="center" wrapText="1"/>
      <protection locked="0"/>
    </xf>
    <xf numFmtId="0" fontId="2" fillId="26" borderId="13" xfId="355" applyFont="1" applyFill="1" applyBorder="1" applyAlignment="1" applyProtection="1">
      <alignment horizontal="justify" vertical="center"/>
      <protection locked="0"/>
    </xf>
    <xf numFmtId="0" fontId="4" fillId="26" borderId="13" xfId="355" applyFont="1" applyFill="1" applyBorder="1" applyAlignment="1" applyProtection="1">
      <alignment horizontal="center" vertical="center"/>
      <protection locked="0"/>
    </xf>
    <xf numFmtId="0" fontId="2" fillId="26" borderId="13" xfId="355" applyFont="1" applyFill="1" applyBorder="1" applyAlignment="1" applyProtection="1">
      <alignment vertical="center" wrapText="1"/>
      <protection locked="0"/>
    </xf>
    <xf numFmtId="170" fontId="0" fillId="0" borderId="13" xfId="79" applyNumberFormat="1" applyFont="1" applyBorder="1" applyAlignment="1">
      <alignment horizontal="center" vertical="center" wrapText="1"/>
    </xf>
    <xf numFmtId="170" fontId="0" fillId="0" borderId="13" xfId="79" applyNumberFormat="1" applyFont="1" applyBorder="1" applyAlignment="1">
      <alignment horizontal="justify" vertical="center" wrapText="1"/>
    </xf>
    <xf numFmtId="0" fontId="4" fillId="26" borderId="13" xfId="355" applyFont="1" applyFill="1" applyBorder="1" applyAlignment="1" applyProtection="1">
      <alignment horizontal="justify" vertical="center"/>
      <protection locked="0"/>
    </xf>
    <xf numFmtId="194" fontId="72" fillId="26" borderId="0" xfId="201" applyFont="1" applyFill="1" applyAlignment="1">
      <alignment vertical="center" wrapText="1"/>
    </xf>
    <xf numFmtId="0" fontId="2" fillId="41" borderId="13" xfId="355" applyFont="1" applyFill="1" applyBorder="1" applyAlignment="1" applyProtection="1">
      <alignment horizontal="center" vertical="center"/>
      <protection locked="0"/>
    </xf>
    <xf numFmtId="0" fontId="2" fillId="41" borderId="13" xfId="355" applyFont="1" applyFill="1" applyBorder="1" applyAlignment="1" applyProtection="1">
      <alignment horizontal="justify" vertical="center"/>
      <protection locked="0"/>
    </xf>
    <xf numFmtId="0" fontId="3" fillId="26" borderId="13" xfId="355" applyFont="1" applyFill="1" applyBorder="1" applyAlignment="1" applyProtection="1">
      <alignment horizontal="justify" vertical="center"/>
      <protection locked="0"/>
    </xf>
    <xf numFmtId="0" fontId="3" fillId="26" borderId="13" xfId="355" applyFont="1" applyFill="1" applyBorder="1" applyAlignment="1" applyProtection="1">
      <alignment horizontal="center" vertical="center"/>
      <protection locked="0"/>
    </xf>
    <xf numFmtId="170" fontId="72" fillId="26" borderId="13" xfId="79" applyNumberFormat="1" applyFont="1" applyFill="1" applyBorder="1" applyAlignment="1">
      <alignment vertical="center"/>
    </xf>
    <xf numFmtId="0" fontId="2" fillId="41" borderId="13" xfId="355" applyFont="1" applyFill="1" applyBorder="1" applyAlignment="1" applyProtection="1">
      <alignment vertical="center"/>
      <protection locked="0"/>
    </xf>
    <xf numFmtId="0" fontId="3" fillId="26" borderId="13" xfId="355" applyFont="1" applyFill="1" applyBorder="1" applyAlignment="1" applyProtection="1">
      <alignment vertical="center"/>
      <protection locked="0"/>
    </xf>
    <xf numFmtId="170" fontId="63" fillId="0" borderId="13" xfId="79" applyNumberFormat="1" applyFont="1" applyBorder="1" applyAlignment="1">
      <alignment horizontal="center" vertical="center" wrapText="1"/>
    </xf>
    <xf numFmtId="170" fontId="63" fillId="0" borderId="13" xfId="79" applyNumberFormat="1" applyFont="1" applyBorder="1" applyAlignment="1">
      <alignment horizontal="justify" vertical="center" wrapText="1"/>
    </xf>
    <xf numFmtId="0" fontId="111" fillId="26" borderId="13" xfId="355" applyFont="1" applyFill="1" applyBorder="1" applyAlignment="1" applyProtection="1">
      <alignment horizontal="justify" vertical="center"/>
      <protection locked="0"/>
    </xf>
    <xf numFmtId="0" fontId="122" fillId="26" borderId="13" xfId="355" applyFont="1" applyFill="1" applyBorder="1" applyAlignment="1" applyProtection="1">
      <alignment horizontal="justify" vertical="center"/>
      <protection locked="0"/>
    </xf>
    <xf numFmtId="170" fontId="72" fillId="26" borderId="13" xfId="79" applyNumberFormat="1" applyFont="1" applyFill="1" applyBorder="1" applyAlignment="1">
      <alignment horizontal="justify" vertical="center" wrapText="1"/>
    </xf>
    <xf numFmtId="170" fontId="89" fillId="0" borderId="13" xfId="79" applyNumberFormat="1" applyFont="1" applyBorder="1" applyAlignment="1">
      <alignment horizontal="justify" vertical="center" wrapText="1"/>
    </xf>
    <xf numFmtId="170" fontId="89" fillId="0" borderId="13" xfId="79" applyNumberFormat="1" applyFont="1" applyBorder="1" applyAlignment="1">
      <alignment horizontal="center" vertical="center" wrapText="1"/>
    </xf>
    <xf numFmtId="0" fontId="111" fillId="0" borderId="13" xfId="355" applyFont="1" applyBorder="1" applyAlignment="1" applyProtection="1">
      <alignment horizontal="center" vertical="center"/>
    </xf>
    <xf numFmtId="170" fontId="89" fillId="0" borderId="20" xfId="79" applyNumberFormat="1" applyFont="1" applyBorder="1" applyAlignment="1">
      <alignment horizontal="justify" vertical="center" wrapText="1"/>
    </xf>
    <xf numFmtId="170" fontId="63" fillId="0" borderId="20" xfId="79" applyNumberFormat="1" applyFont="1" applyBorder="1" applyAlignment="1">
      <alignment horizontal="justify" vertical="center"/>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3" fillId="0" borderId="13" xfId="0" applyFont="1" applyBorder="1" applyAlignment="1">
      <alignment horizontal="justify"/>
    </xf>
    <xf numFmtId="0" fontId="3" fillId="26" borderId="13" xfId="355" applyFont="1" applyFill="1" applyBorder="1" applyAlignment="1" applyProtection="1">
      <alignment horizontal="center" vertical="center" wrapText="1"/>
      <protection locked="0"/>
    </xf>
    <xf numFmtId="0" fontId="112" fillId="26" borderId="13" xfId="355" applyFont="1" applyFill="1" applyBorder="1" applyAlignment="1" applyProtection="1">
      <alignment horizontal="justify" vertical="center"/>
      <protection locked="0"/>
    </xf>
    <xf numFmtId="1" fontId="85" fillId="26" borderId="13" xfId="0" applyNumberFormat="1" applyFont="1" applyFill="1" applyBorder="1"/>
    <xf numFmtId="170" fontId="72" fillId="26" borderId="13" xfId="79" applyNumberFormat="1" applyFont="1" applyFill="1" applyBorder="1" applyAlignment="1">
      <alignment horizontal="justify" vertical="center"/>
    </xf>
    <xf numFmtId="170" fontId="72" fillId="26" borderId="20" xfId="79" applyNumberFormat="1" applyFont="1" applyFill="1" applyBorder="1" applyAlignment="1">
      <alignment horizontal="justify" vertical="center"/>
    </xf>
    <xf numFmtId="0" fontId="0" fillId="26" borderId="13" xfId="0" applyFill="1" applyBorder="1" applyAlignment="1">
      <alignment vertical="center" wrapText="1"/>
    </xf>
    <xf numFmtId="170" fontId="0" fillId="0" borderId="20" xfId="79" applyNumberFormat="1" applyFont="1" applyBorder="1" applyAlignment="1">
      <alignment horizontal="justify" vertical="center"/>
    </xf>
    <xf numFmtId="0" fontId="2" fillId="41" borderId="24" xfId="355" applyFill="1" applyBorder="1" applyAlignment="1" applyProtection="1">
      <alignment vertical="center"/>
      <protection locked="0"/>
    </xf>
    <xf numFmtId="0" fontId="2" fillId="45" borderId="0" xfId="355" applyFont="1" applyFill="1" applyBorder="1" applyAlignment="1" applyProtection="1">
      <alignment vertical="center"/>
      <protection locked="0"/>
    </xf>
    <xf numFmtId="0" fontId="4" fillId="45" borderId="0" xfId="355" applyFont="1" applyFill="1" applyBorder="1" applyAlignment="1" applyProtection="1">
      <alignment vertical="center"/>
      <protection locked="0"/>
    </xf>
    <xf numFmtId="0" fontId="4" fillId="45" borderId="30" xfId="355" applyFont="1" applyFill="1" applyBorder="1" applyAlignment="1" applyProtection="1">
      <alignment vertical="center"/>
      <protection locked="0"/>
    </xf>
    <xf numFmtId="0" fontId="4" fillId="45" borderId="29" xfId="355" applyFont="1" applyFill="1" applyBorder="1" applyAlignment="1" applyProtection="1">
      <alignment vertical="center"/>
      <protection locked="0"/>
    </xf>
    <xf numFmtId="0" fontId="4" fillId="45" borderId="32" xfId="355" applyFont="1" applyFill="1" applyBorder="1" applyAlignment="1" applyProtection="1">
      <alignment vertical="center"/>
      <protection locked="0"/>
    </xf>
    <xf numFmtId="0" fontId="36" fillId="26" borderId="13" xfId="355" applyFont="1" applyFill="1" applyBorder="1" applyAlignment="1" applyProtection="1">
      <alignment horizontal="center" vertical="center"/>
      <protection locked="0"/>
    </xf>
    <xf numFmtId="0" fontId="2" fillId="41" borderId="0" xfId="355" applyFill="1" applyBorder="1" applyAlignment="1" applyProtection="1">
      <alignment vertical="center"/>
      <protection locked="0"/>
    </xf>
    <xf numFmtId="193" fontId="3" fillId="26" borderId="13" xfId="355" applyNumberFormat="1" applyFont="1" applyFill="1" applyBorder="1" applyAlignment="1" applyProtection="1">
      <alignment vertical="center"/>
    </xf>
    <xf numFmtId="199" fontId="7" fillId="0" borderId="13" xfId="220" applyNumberFormat="1" applyFont="1" applyBorder="1" applyAlignment="1" applyProtection="1">
      <alignment horizontal="center" vertical="center" wrapText="1"/>
    </xf>
    <xf numFmtId="199" fontId="3" fillId="26" borderId="13" xfId="221" applyNumberFormat="1" applyFont="1" applyFill="1" applyBorder="1" applyAlignment="1" applyProtection="1">
      <alignment horizontal="center" vertical="center"/>
    </xf>
    <xf numFmtId="199" fontId="3" fillId="26" borderId="13" xfId="221" applyNumberFormat="1" applyFont="1" applyFill="1" applyBorder="1" applyAlignment="1" applyProtection="1">
      <alignment horizontal="center" vertical="center" wrapText="1"/>
    </xf>
    <xf numFmtId="0" fontId="112" fillId="26" borderId="13" xfId="355" applyFont="1" applyFill="1" applyBorder="1" applyAlignment="1" applyProtection="1">
      <alignment horizontal="center" vertical="center"/>
      <protection locked="0"/>
    </xf>
    <xf numFmtId="0" fontId="3" fillId="26" borderId="13" xfId="355" applyFont="1" applyFill="1" applyBorder="1" applyAlignment="1" applyProtection="1">
      <alignment vertical="center" wrapText="1"/>
      <protection locked="0"/>
    </xf>
    <xf numFmtId="0" fontId="106" fillId="0" borderId="13" xfId="355" applyFont="1" applyBorder="1" applyAlignment="1" applyProtection="1">
      <alignment horizontal="left" vertical="center"/>
      <protection locked="0"/>
    </xf>
    <xf numFmtId="3" fontId="36" fillId="0" borderId="13" xfId="355" applyNumberFormat="1" applyFont="1" applyBorder="1" applyAlignment="1" applyProtection="1">
      <alignment horizontal="center" vertical="center"/>
      <protection locked="0"/>
    </xf>
    <xf numFmtId="0" fontId="2" fillId="0" borderId="0" xfId="355" applyBorder="1" applyAlignment="1" applyProtection="1">
      <alignment vertical="center"/>
      <protection locked="0"/>
    </xf>
    <xf numFmtId="170" fontId="0" fillId="0" borderId="13" xfId="79" applyNumberFormat="1" applyFont="1" applyBorder="1" applyAlignment="1">
      <alignment horizontal="left" vertical="center"/>
    </xf>
    <xf numFmtId="0" fontId="4" fillId="26" borderId="24" xfId="355" applyFont="1" applyFill="1" applyBorder="1" applyAlignment="1" applyProtection="1">
      <alignment vertical="center"/>
      <protection locked="0"/>
    </xf>
    <xf numFmtId="170" fontId="72" fillId="26" borderId="64" xfId="79" applyNumberFormat="1" applyFont="1" applyFill="1" applyBorder="1" applyAlignment="1">
      <alignment vertical="center"/>
    </xf>
    <xf numFmtId="0" fontId="2" fillId="26" borderId="13" xfId="355" applyFont="1" applyFill="1" applyBorder="1" applyAlignment="1" applyProtection="1">
      <alignment vertical="center" wrapText="1"/>
    </xf>
    <xf numFmtId="3" fontId="2" fillId="26" borderId="13" xfId="355" applyNumberFormat="1" applyFill="1" applyBorder="1" applyAlignment="1" applyProtection="1">
      <alignment vertical="center"/>
    </xf>
    <xf numFmtId="0" fontId="2" fillId="26" borderId="13" xfId="355" applyFill="1" applyBorder="1" applyAlignment="1" applyProtection="1">
      <alignment vertical="center"/>
    </xf>
    <xf numFmtId="14" fontId="2" fillId="26" borderId="13" xfId="355" applyNumberFormat="1" applyFill="1" applyBorder="1" applyAlignment="1" applyProtection="1">
      <alignment vertical="center"/>
    </xf>
    <xf numFmtId="0" fontId="72" fillId="26" borderId="64" xfId="0" applyFont="1" applyFill="1" applyBorder="1" applyAlignment="1">
      <alignment horizontal="justify" vertical="center" wrapText="1"/>
    </xf>
    <xf numFmtId="0" fontId="3" fillId="26" borderId="16" xfId="355" applyFont="1" applyFill="1" applyBorder="1" applyAlignment="1" applyProtection="1">
      <alignment horizontal="center" vertical="center"/>
      <protection locked="0"/>
    </xf>
    <xf numFmtId="0" fontId="3" fillId="26" borderId="13" xfId="0" applyFont="1" applyFill="1" applyBorder="1" applyAlignment="1">
      <alignment horizontal="center" vertical="center" wrapText="1"/>
    </xf>
    <xf numFmtId="200" fontId="2" fillId="41" borderId="16" xfId="355" applyNumberFormat="1" applyFill="1" applyBorder="1" applyAlignment="1" applyProtection="1">
      <alignment vertical="center"/>
    </xf>
    <xf numFmtId="0" fontId="72" fillId="26" borderId="64" xfId="0" applyFont="1" applyFill="1" applyBorder="1" applyAlignment="1">
      <alignment horizontal="justify" vertical="center"/>
    </xf>
    <xf numFmtId="170" fontId="72" fillId="26" borderId="64" xfId="79" applyNumberFormat="1" applyFont="1" applyFill="1" applyBorder="1" applyAlignment="1">
      <alignment horizontal="justify" vertical="center"/>
    </xf>
    <xf numFmtId="170" fontId="72" fillId="26" borderId="67" xfId="79" applyNumberFormat="1" applyFont="1" applyFill="1" applyBorder="1" applyAlignment="1">
      <alignment horizontal="justify" vertical="center" wrapText="1"/>
    </xf>
    <xf numFmtId="170" fontId="72" fillId="26" borderId="67" xfId="79" applyNumberFormat="1" applyFont="1" applyFill="1" applyBorder="1" applyAlignment="1">
      <alignment horizontal="justify" vertical="center"/>
    </xf>
    <xf numFmtId="0" fontId="2" fillId="26" borderId="13" xfId="355" applyFill="1" applyBorder="1" applyAlignment="1" applyProtection="1">
      <alignment vertical="center"/>
      <protection locked="0"/>
    </xf>
    <xf numFmtId="0" fontId="72" fillId="26" borderId="68" xfId="0" applyFont="1" applyFill="1" applyBorder="1" applyAlignment="1">
      <alignment horizontal="justify" vertical="center"/>
    </xf>
    <xf numFmtId="0" fontId="2" fillId="0" borderId="13" xfId="355" applyFill="1" applyBorder="1" applyAlignment="1" applyProtection="1">
      <alignment horizontal="center" vertical="center"/>
      <protection locked="0"/>
    </xf>
    <xf numFmtId="199" fontId="13" fillId="0" borderId="69" xfId="355" applyNumberFormat="1" applyFont="1" applyFill="1" applyBorder="1" applyAlignment="1" applyProtection="1">
      <alignment vertical="center"/>
    </xf>
    <xf numFmtId="0" fontId="72" fillId="26" borderId="70" xfId="0" applyFont="1" applyFill="1" applyBorder="1" applyAlignment="1">
      <alignment horizontal="justify" vertical="center"/>
    </xf>
    <xf numFmtId="0" fontId="2" fillId="0" borderId="24" xfId="355" applyFill="1" applyBorder="1" applyAlignment="1" applyProtection="1">
      <alignment horizontal="center" vertical="center"/>
      <protection locked="0"/>
    </xf>
    <xf numFmtId="0" fontId="4" fillId="0" borderId="35" xfId="355" applyFont="1" applyFill="1" applyBorder="1" applyAlignment="1" applyProtection="1">
      <alignment horizontal="center" vertical="center"/>
      <protection locked="0"/>
    </xf>
    <xf numFmtId="199" fontId="2" fillId="0" borderId="0" xfId="355" applyNumberFormat="1" applyFill="1" applyAlignment="1" applyProtection="1">
      <alignment vertical="center"/>
    </xf>
    <xf numFmtId="0" fontId="36" fillId="0" borderId="13" xfId="355" applyFont="1" applyBorder="1" applyAlignment="1" applyProtection="1">
      <alignment vertical="center"/>
      <protection locked="0"/>
    </xf>
    <xf numFmtId="0" fontId="36" fillId="41" borderId="13" xfId="355" applyFont="1" applyFill="1" applyBorder="1" applyAlignment="1" applyProtection="1">
      <alignment vertical="center"/>
      <protection locked="0"/>
    </xf>
    <xf numFmtId="9" fontId="36" fillId="41" borderId="13" xfId="355" applyNumberFormat="1" applyFont="1" applyFill="1" applyBorder="1" applyAlignment="1" applyProtection="1">
      <alignment vertical="center"/>
      <protection locked="0"/>
    </xf>
    <xf numFmtId="9" fontId="36" fillId="0" borderId="0" xfId="355" applyNumberFormat="1" applyFont="1" applyFill="1" applyBorder="1" applyAlignment="1" applyProtection="1">
      <alignment vertical="center"/>
      <protection locked="0"/>
    </xf>
    <xf numFmtId="0" fontId="69" fillId="0" borderId="0" xfId="0" applyFont="1" applyAlignment="1">
      <alignment horizontal="center" vertical="center"/>
    </xf>
    <xf numFmtId="0" fontId="73" fillId="0" borderId="0" xfId="0" applyFont="1" applyBorder="1" applyAlignment="1">
      <alignment horizontal="center" vertical="center"/>
    </xf>
    <xf numFmtId="0" fontId="73" fillId="0" borderId="0" xfId="0" applyFont="1" applyAlignment="1">
      <alignment horizontal="center" vertical="center"/>
    </xf>
    <xf numFmtId="201" fontId="69" fillId="0" borderId="0" xfId="143" applyNumberFormat="1" applyFont="1" applyAlignment="1">
      <alignment vertical="center"/>
    </xf>
    <xf numFmtId="201" fontId="69" fillId="0" borderId="0" xfId="0" applyNumberFormat="1" applyFont="1" applyAlignment="1">
      <alignment vertical="center"/>
    </xf>
    <xf numFmtId="171" fontId="6" fillId="33" borderId="19" xfId="355" applyNumberFormat="1" applyFont="1" applyFill="1" applyBorder="1" applyAlignment="1" applyProtection="1">
      <alignment horizontal="center" vertical="center" wrapText="1"/>
    </xf>
    <xf numFmtId="171" fontId="3" fillId="0" borderId="13" xfId="216" applyNumberFormat="1" applyFont="1" applyBorder="1" applyAlignment="1" applyProtection="1">
      <alignment horizontal="center" vertical="center" wrapText="1"/>
    </xf>
    <xf numFmtId="0" fontId="69" fillId="0" borderId="20" xfId="0" applyFont="1" applyBorder="1" applyAlignment="1">
      <alignment vertical="center" wrapText="1"/>
    </xf>
    <xf numFmtId="0" fontId="3" fillId="0" borderId="13" xfId="355"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49" fontId="0" fillId="0" borderId="71" xfId="0" applyNumberFormat="1" applyBorder="1" applyAlignment="1">
      <alignment horizontal="justify" vertical="center" wrapText="1"/>
    </xf>
    <xf numFmtId="0" fontId="3" fillId="0" borderId="20" xfId="355" applyFont="1" applyBorder="1" applyAlignment="1" applyProtection="1">
      <alignment vertical="center" wrapText="1"/>
      <protection locked="0"/>
    </xf>
    <xf numFmtId="171" fontId="6" fillId="33" borderId="13" xfId="355" applyNumberFormat="1" applyFont="1" applyFill="1" applyBorder="1" applyAlignment="1" applyProtection="1">
      <alignment horizontal="center" vertical="center" wrapText="1"/>
    </xf>
    <xf numFmtId="0" fontId="3" fillId="33" borderId="16" xfId="355" applyFont="1" applyFill="1" applyBorder="1" applyAlignment="1" applyProtection="1">
      <alignment horizontal="center" vertical="center" wrapText="1"/>
    </xf>
    <xf numFmtId="0" fontId="69" fillId="0" borderId="24" xfId="0" applyFont="1" applyBorder="1" applyAlignment="1">
      <alignment vertical="center" wrapText="1"/>
    </xf>
    <xf numFmtId="0" fontId="69" fillId="0" borderId="13" xfId="0" applyFont="1" applyBorder="1" applyAlignment="1">
      <alignment vertical="center" wrapText="1"/>
    </xf>
    <xf numFmtId="0" fontId="69" fillId="0" borderId="20" xfId="0" applyFont="1" applyBorder="1" applyAlignment="1">
      <alignment horizontal="center" vertical="center" wrapText="1"/>
    </xf>
    <xf numFmtId="171" fontId="3" fillId="33" borderId="13" xfId="216" applyNumberFormat="1" applyFont="1" applyFill="1" applyBorder="1" applyAlignment="1" applyProtection="1">
      <alignment horizontal="center" vertical="center" wrapText="1"/>
    </xf>
    <xf numFmtId="171" fontId="3" fillId="0" borderId="13" xfId="216" applyNumberFormat="1" applyFont="1" applyFill="1" applyBorder="1" applyAlignment="1" applyProtection="1">
      <alignment horizontal="center" vertical="center" wrapText="1"/>
    </xf>
    <xf numFmtId="171" fontId="3" fillId="0" borderId="21" xfId="216" applyNumberFormat="1" applyFont="1" applyFill="1" applyBorder="1" applyAlignment="1" applyProtection="1">
      <alignment horizontal="center" vertical="center" wrapText="1"/>
    </xf>
    <xf numFmtId="171" fontId="3" fillId="0" borderId="21" xfId="216" applyNumberFormat="1" applyFont="1" applyBorder="1" applyAlignment="1" applyProtection="1">
      <alignment horizontal="center" vertical="center" wrapText="1"/>
    </xf>
    <xf numFmtId="0" fontId="2" fillId="0" borderId="0" xfId="355" applyFont="1" applyBorder="1" applyAlignment="1" applyProtection="1">
      <alignment horizontal="left" vertical="center" wrapText="1"/>
    </xf>
    <xf numFmtId="171" fontId="3" fillId="0" borderId="0" xfId="216" applyNumberFormat="1" applyFont="1" applyBorder="1" applyAlignment="1" applyProtection="1">
      <alignment horizontal="center" vertical="center"/>
    </xf>
    <xf numFmtId="171" fontId="7" fillId="0" borderId="0" xfId="216" applyNumberFormat="1" applyFont="1" applyBorder="1" applyAlignment="1" applyProtection="1">
      <alignment horizontal="center" vertical="center"/>
    </xf>
    <xf numFmtId="0" fontId="78" fillId="0" borderId="0" xfId="0" applyFont="1" applyAlignment="1">
      <alignment horizontal="center" vertical="center"/>
    </xf>
    <xf numFmtId="171" fontId="69" fillId="0" borderId="0" xfId="0" applyNumberFormat="1" applyFont="1" applyAlignment="1">
      <alignment vertical="center"/>
    </xf>
    <xf numFmtId="166" fontId="69" fillId="0" borderId="0" xfId="0" applyNumberFormat="1" applyFont="1" applyAlignment="1">
      <alignment vertical="center"/>
    </xf>
    <xf numFmtId="0" fontId="0" fillId="0" borderId="0" xfId="0" applyFont="1" applyAlignment="1">
      <alignment vertical="center"/>
    </xf>
    <xf numFmtId="0" fontId="87" fillId="0" borderId="16" xfId="0" applyFont="1" applyFill="1" applyBorder="1" applyAlignment="1">
      <alignment horizontal="center" vertical="center" wrapText="1"/>
    </xf>
    <xf numFmtId="171" fontId="0" fillId="0" borderId="13" xfId="212" applyNumberFormat="1" applyFont="1" applyBorder="1" applyAlignment="1">
      <alignment vertical="center" wrapText="1"/>
    </xf>
    <xf numFmtId="14" fontId="0" fillId="0" borderId="13" xfId="0" applyNumberFormat="1" applyBorder="1" applyAlignment="1">
      <alignment vertical="center" wrapText="1"/>
    </xf>
    <xf numFmtId="9" fontId="86" fillId="0" borderId="13" xfId="0" applyNumberFormat="1" applyFont="1" applyBorder="1"/>
    <xf numFmtId="0" fontId="86" fillId="0" borderId="13" xfId="0" applyFont="1" applyBorder="1" applyAlignment="1">
      <alignment wrapText="1"/>
    </xf>
    <xf numFmtId="14" fontId="86" fillId="0" borderId="13" xfId="0" applyNumberFormat="1" applyFont="1" applyFill="1" applyBorder="1" applyAlignment="1">
      <alignment horizontal="center" vertical="center"/>
    </xf>
    <xf numFmtId="0" fontId="86" fillId="0" borderId="0" xfId="0" applyFont="1" applyFill="1" applyBorder="1" applyAlignment="1">
      <alignment horizontal="left" vertical="center"/>
    </xf>
    <xf numFmtId="0" fontId="0" fillId="0" borderId="13" xfId="0" applyFill="1" applyBorder="1" applyAlignment="1">
      <alignment horizontal="justify" vertical="center" wrapText="1"/>
    </xf>
    <xf numFmtId="0" fontId="0" fillId="0" borderId="13" xfId="0" applyFill="1" applyBorder="1"/>
    <xf numFmtId="171" fontId="0" fillId="0" borderId="13" xfId="212" applyNumberFormat="1" applyFont="1" applyFill="1" applyBorder="1" applyAlignment="1">
      <alignment vertical="center" wrapText="1"/>
    </xf>
    <xf numFmtId="14" fontId="0" fillId="0" borderId="13" xfId="0" applyNumberFormat="1" applyFill="1" applyBorder="1"/>
    <xf numFmtId="14" fontId="0" fillId="0" borderId="13" xfId="0" applyNumberFormat="1" applyFill="1" applyBorder="1" applyAlignment="1">
      <alignment vertical="center" wrapText="1"/>
    </xf>
    <xf numFmtId="0" fontId="0" fillId="0" borderId="0" xfId="0" applyFill="1"/>
    <xf numFmtId="14" fontId="86" fillId="0" borderId="13" xfId="0" applyNumberFormat="1" applyFont="1" applyBorder="1" applyAlignment="1">
      <alignment horizontal="center" vertical="center"/>
    </xf>
    <xf numFmtId="3" fontId="64" fillId="0" borderId="0" xfId="0" applyNumberFormat="1" applyFont="1" applyBorder="1" applyAlignment="1">
      <alignment horizontal="right" vertical="center"/>
    </xf>
    <xf numFmtId="0" fontId="87" fillId="0" borderId="0" xfId="0" applyFont="1" applyFill="1" applyBorder="1" applyAlignment="1">
      <alignment horizontal="center" vertical="center" wrapText="1"/>
    </xf>
    <xf numFmtId="0" fontId="86" fillId="0" borderId="0" xfId="0" applyFont="1" applyBorder="1" applyAlignment="1">
      <alignment horizontal="center" vertical="center"/>
    </xf>
    <xf numFmtId="14" fontId="86" fillId="0" borderId="0" xfId="0" applyNumberFormat="1" applyFont="1" applyBorder="1" applyAlignment="1">
      <alignment horizontal="center" vertical="center"/>
    </xf>
    <xf numFmtId="0" fontId="86" fillId="0" borderId="0" xfId="0" applyFont="1" applyBorder="1"/>
    <xf numFmtId="0" fontId="0" fillId="0" borderId="0" xfId="0" applyBorder="1"/>
    <xf numFmtId="0" fontId="0" fillId="0" borderId="36" xfId="0" applyBorder="1"/>
    <xf numFmtId="3" fontId="64" fillId="0" borderId="0" xfId="0" applyNumberFormat="1" applyFont="1" applyFill="1" applyBorder="1" applyAlignment="1">
      <alignment horizontal="right" vertical="center"/>
    </xf>
    <xf numFmtId="0" fontId="86" fillId="0" borderId="0" xfId="0" applyFont="1" applyFill="1" applyBorder="1" applyAlignment="1">
      <alignment horizontal="center" vertical="center"/>
    </xf>
    <xf numFmtId="0" fontId="86" fillId="0" borderId="0" xfId="0" applyFont="1" applyFill="1" applyBorder="1"/>
    <xf numFmtId="171" fontId="0" fillId="0" borderId="16" xfId="212" applyNumberFormat="1" applyFont="1" applyFill="1" applyBorder="1" applyAlignment="1">
      <alignment vertical="center" wrapText="1"/>
    </xf>
    <xf numFmtId="1" fontId="0" fillId="0" borderId="0" xfId="0" applyNumberFormat="1" applyFill="1"/>
    <xf numFmtId="0" fontId="0" fillId="0" borderId="0" xfId="0" applyFill="1" applyAlignment="1">
      <alignment wrapText="1"/>
    </xf>
    <xf numFmtId="0" fontId="86" fillId="0" borderId="13" xfId="0" applyFont="1" applyFill="1" applyBorder="1" applyAlignment="1">
      <alignment horizontal="left" vertical="top"/>
    </xf>
    <xf numFmtId="1" fontId="0" fillId="0" borderId="0" xfId="0" applyNumberFormat="1" applyFont="1" applyFill="1"/>
    <xf numFmtId="0" fontId="0" fillId="0" borderId="0" xfId="0" applyFont="1" applyFill="1"/>
    <xf numFmtId="14" fontId="0" fillId="0" borderId="0" xfId="0" applyNumberFormat="1" applyFill="1"/>
    <xf numFmtId="0" fontId="0" fillId="0" borderId="13" xfId="0" applyFont="1" applyFill="1" applyBorder="1"/>
    <xf numFmtId="0" fontId="94" fillId="0" borderId="13" xfId="0" applyFont="1" applyBorder="1" applyAlignment="1">
      <alignment horizontal="left" vertical="center" wrapText="1"/>
    </xf>
    <xf numFmtId="0" fontId="86" fillId="0" borderId="25" xfId="0" applyFont="1" applyBorder="1" applyAlignment="1">
      <alignment horizontal="center" vertical="center"/>
    </xf>
    <xf numFmtId="0" fontId="0" fillId="0" borderId="0" xfId="0" applyFill="1" applyBorder="1"/>
    <xf numFmtId="0" fontId="87" fillId="0" borderId="13" xfId="0" applyFont="1" applyFill="1" applyBorder="1" applyAlignment="1">
      <alignment horizontal="center" vertical="center" wrapText="1"/>
    </xf>
    <xf numFmtId="3" fontId="94" fillId="0" borderId="13" xfId="212" applyNumberFormat="1" applyFont="1" applyFill="1" applyBorder="1" applyAlignment="1">
      <alignment horizontal="right" vertical="center"/>
    </xf>
    <xf numFmtId="170" fontId="88" fillId="0" borderId="13" xfId="79" applyNumberFormat="1" applyFont="1" applyFill="1" applyBorder="1" applyAlignment="1">
      <alignment horizontal="center" vertical="center" wrapText="1"/>
    </xf>
    <xf numFmtId="170" fontId="88" fillId="0" borderId="16" xfId="79" applyNumberFormat="1" applyFont="1" applyFill="1" applyBorder="1" applyAlignment="1">
      <alignment horizontal="center" vertical="center" wrapText="1"/>
    </xf>
    <xf numFmtId="3" fontId="96" fillId="0" borderId="13" xfId="212" applyNumberFormat="1" applyFont="1" applyFill="1" applyBorder="1" applyAlignment="1">
      <alignment horizontal="right" vertical="center"/>
    </xf>
    <xf numFmtId="3" fontId="92" fillId="0" borderId="0" xfId="0" applyNumberFormat="1" applyFont="1" applyFill="1" applyBorder="1" applyAlignment="1">
      <alignment horizontal="right" vertical="center"/>
    </xf>
    <xf numFmtId="0" fontId="92" fillId="0" borderId="0" xfId="0" applyFont="1" applyFill="1" applyBorder="1" applyAlignment="1">
      <alignment horizontal="center" vertical="center"/>
    </xf>
    <xf numFmtId="14" fontId="92" fillId="0" borderId="0" xfId="0" applyNumberFormat="1" applyFont="1" applyFill="1" applyBorder="1" applyAlignment="1">
      <alignment horizontal="center" vertical="center"/>
    </xf>
    <xf numFmtId="0" fontId="92" fillId="0" borderId="0" xfId="0" applyFont="1" applyFill="1" applyBorder="1"/>
    <xf numFmtId="1" fontId="0" fillId="51" borderId="0" xfId="0" applyNumberFormat="1" applyFill="1"/>
    <xf numFmtId="0" fontId="64" fillId="51" borderId="13" xfId="0" applyFont="1" applyFill="1" applyBorder="1" applyAlignment="1">
      <alignment horizontal="left" vertical="center" wrapText="1"/>
    </xf>
    <xf numFmtId="3" fontId="64" fillId="51" borderId="13" xfId="0" applyNumberFormat="1" applyFont="1" applyFill="1" applyBorder="1" applyAlignment="1">
      <alignment horizontal="right" vertical="center"/>
    </xf>
    <xf numFmtId="0" fontId="86" fillId="51" borderId="13" xfId="0" applyFont="1" applyFill="1" applyBorder="1" applyAlignment="1">
      <alignment horizontal="center" vertical="center"/>
    </xf>
    <xf numFmtId="0" fontId="86" fillId="51" borderId="13" xfId="0" applyFont="1" applyFill="1" applyBorder="1" applyAlignment="1">
      <alignment horizontal="left" vertical="top"/>
    </xf>
    <xf numFmtId="173" fontId="86" fillId="51" borderId="13" xfId="0" applyNumberFormat="1" applyFont="1" applyFill="1" applyBorder="1" applyAlignment="1">
      <alignment horizontal="right" vertical="center"/>
    </xf>
    <xf numFmtId="0" fontId="86" fillId="51" borderId="13" xfId="0" applyFont="1" applyFill="1" applyBorder="1"/>
    <xf numFmtId="173" fontId="86" fillId="51" borderId="16" xfId="0" applyNumberFormat="1" applyFont="1" applyFill="1" applyBorder="1" applyAlignment="1">
      <alignment horizontal="right" vertical="center"/>
    </xf>
    <xf numFmtId="0" fontId="0" fillId="51" borderId="13" xfId="0" applyFill="1" applyBorder="1"/>
    <xf numFmtId="0" fontId="0" fillId="51" borderId="0" xfId="0" applyFill="1"/>
    <xf numFmtId="14" fontId="0" fillId="0" borderId="0" xfId="0" applyNumberFormat="1" applyFill="1" applyAlignment="1">
      <alignment wrapText="1"/>
    </xf>
    <xf numFmtId="1" fontId="88" fillId="0" borderId="0" xfId="0" applyNumberFormat="1" applyFont="1" applyFill="1"/>
    <xf numFmtId="170" fontId="88" fillId="0" borderId="13" xfId="79" applyNumberFormat="1" applyFont="1" applyFill="1" applyBorder="1" applyAlignment="1">
      <alignment horizontal="center" vertical="center"/>
    </xf>
    <xf numFmtId="15" fontId="88" fillId="0" borderId="13" xfId="0" applyNumberFormat="1" applyFont="1" applyFill="1" applyBorder="1" applyAlignment="1">
      <alignment horizontal="center" vertical="center"/>
    </xf>
    <xf numFmtId="0" fontId="88" fillId="0" borderId="13" xfId="0" applyFont="1" applyFill="1" applyBorder="1"/>
    <xf numFmtId="0" fontId="88" fillId="0" borderId="0" xfId="0" applyFont="1" applyFill="1"/>
    <xf numFmtId="0" fontId="0" fillId="38" borderId="0" xfId="0" applyFill="1" applyAlignment="1">
      <alignment wrapText="1"/>
    </xf>
    <xf numFmtId="3" fontId="86" fillId="38" borderId="13" xfId="0" applyNumberFormat="1" applyFont="1" applyFill="1" applyBorder="1" applyAlignment="1">
      <alignment horizontal="right" vertical="center"/>
    </xf>
    <xf numFmtId="9" fontId="86" fillId="38" borderId="13" xfId="0" applyNumberFormat="1" applyFont="1" applyFill="1" applyBorder="1"/>
    <xf numFmtId="3" fontId="0" fillId="0" borderId="13" xfId="0" applyNumberFormat="1" applyFont="1" applyFill="1" applyBorder="1" applyAlignment="1">
      <alignment horizontal="right" vertical="center"/>
    </xf>
    <xf numFmtId="0" fontId="0" fillId="0" borderId="13" xfId="0" applyFont="1" applyFill="1" applyBorder="1" applyAlignment="1">
      <alignment horizontal="left" vertical="center" wrapText="1"/>
    </xf>
    <xf numFmtId="1" fontId="64" fillId="31" borderId="0" xfId="0" applyNumberFormat="1" applyFont="1" applyFill="1"/>
    <xf numFmtId="0" fontId="64" fillId="31" borderId="13" xfId="0" applyFont="1" applyFill="1" applyBorder="1" applyAlignment="1">
      <alignment horizontal="left" vertical="center" wrapText="1"/>
    </xf>
    <xf numFmtId="3" fontId="64" fillId="31" borderId="13" xfId="0" applyNumberFormat="1" applyFont="1" applyFill="1" applyBorder="1" applyAlignment="1">
      <alignment horizontal="right" vertical="center"/>
    </xf>
    <xf numFmtId="171" fontId="64" fillId="31" borderId="13" xfId="212" applyNumberFormat="1" applyFont="1" applyFill="1" applyBorder="1" applyAlignment="1">
      <alignment vertical="center" wrapText="1"/>
    </xf>
    <xf numFmtId="0" fontId="0" fillId="52" borderId="0" xfId="0" applyFill="1" applyAlignment="1">
      <alignment wrapText="1"/>
    </xf>
    <xf numFmtId="0" fontId="94" fillId="52" borderId="13" xfId="0" applyFont="1" applyFill="1" applyBorder="1" applyAlignment="1">
      <alignment horizontal="center" vertical="center"/>
    </xf>
    <xf numFmtId="0" fontId="64" fillId="52" borderId="13" xfId="0" applyFont="1" applyFill="1" applyBorder="1" applyAlignment="1">
      <alignment horizontal="left" vertical="center" wrapText="1"/>
    </xf>
    <xf numFmtId="171" fontId="64" fillId="52" borderId="13" xfId="212" applyNumberFormat="1" applyFont="1" applyFill="1" applyBorder="1" applyAlignment="1">
      <alignment vertical="center" wrapText="1"/>
    </xf>
    <xf numFmtId="14" fontId="64" fillId="52" borderId="13" xfId="0" applyNumberFormat="1" applyFont="1" applyFill="1" applyBorder="1" applyAlignment="1">
      <alignment vertical="center" wrapText="1"/>
    </xf>
    <xf numFmtId="0" fontId="94" fillId="52" borderId="13" xfId="0" applyFont="1" applyFill="1" applyBorder="1"/>
    <xf numFmtId="3" fontId="94" fillId="52" borderId="13" xfId="0" applyNumberFormat="1" applyFont="1" applyFill="1" applyBorder="1" applyAlignment="1">
      <alignment horizontal="right" vertical="center"/>
    </xf>
    <xf numFmtId="171" fontId="64" fillId="52" borderId="16" xfId="212" applyNumberFormat="1" applyFont="1" applyFill="1" applyBorder="1" applyAlignment="1">
      <alignment vertical="center" wrapText="1"/>
    </xf>
    <xf numFmtId="0" fontId="64" fillId="52" borderId="13" xfId="0" applyFont="1" applyFill="1" applyBorder="1"/>
    <xf numFmtId="9" fontId="86" fillId="52" borderId="13" xfId="0" applyNumberFormat="1" applyFont="1" applyFill="1" applyBorder="1"/>
    <xf numFmtId="1" fontId="0" fillId="53" borderId="0" xfId="0" applyNumberFormat="1" applyFill="1"/>
    <xf numFmtId="0" fontId="64" fillId="53" borderId="13" xfId="0" applyFont="1" applyFill="1" applyBorder="1" applyAlignment="1">
      <alignment horizontal="left" vertical="center" wrapText="1"/>
    </xf>
    <xf numFmtId="3" fontId="64" fillId="53" borderId="13" xfId="0" applyNumberFormat="1" applyFont="1" applyFill="1" applyBorder="1" applyAlignment="1">
      <alignment horizontal="right" vertical="center"/>
    </xf>
    <xf numFmtId="0" fontId="0" fillId="53" borderId="0" xfId="0" applyFill="1" applyAlignment="1">
      <alignment wrapText="1"/>
    </xf>
    <xf numFmtId="0" fontId="86" fillId="53" borderId="13" xfId="0" applyFont="1" applyFill="1" applyBorder="1" applyAlignment="1">
      <alignment horizontal="center" vertical="center"/>
    </xf>
    <xf numFmtId="0" fontId="86" fillId="53" borderId="13" xfId="0" applyFont="1" applyFill="1" applyBorder="1" applyAlignment="1">
      <alignment horizontal="left" vertical="top"/>
    </xf>
    <xf numFmtId="173" fontId="86" fillId="53" borderId="13" xfId="0" applyNumberFormat="1" applyFont="1" applyFill="1" applyBorder="1" applyAlignment="1">
      <alignment horizontal="right" vertical="center"/>
    </xf>
    <xf numFmtId="0" fontId="86" fillId="53" borderId="13" xfId="0" applyFont="1" applyFill="1" applyBorder="1"/>
    <xf numFmtId="3" fontId="86" fillId="53" borderId="13" xfId="0" applyNumberFormat="1" applyFont="1" applyFill="1" applyBorder="1" applyAlignment="1">
      <alignment horizontal="right" vertical="center"/>
    </xf>
    <xf numFmtId="173" fontId="86" fillId="53" borderId="16" xfId="0" applyNumberFormat="1" applyFont="1" applyFill="1" applyBorder="1" applyAlignment="1">
      <alignment horizontal="right" vertical="center"/>
    </xf>
    <xf numFmtId="0" fontId="0" fillId="53" borderId="13" xfId="0" applyFill="1" applyBorder="1"/>
    <xf numFmtId="9" fontId="86" fillId="53" borderId="13" xfId="0" applyNumberFormat="1" applyFont="1" applyFill="1" applyBorder="1"/>
    <xf numFmtId="0" fontId="0" fillId="53" borderId="0" xfId="0" applyFill="1"/>
    <xf numFmtId="170" fontId="86" fillId="26" borderId="13" xfId="79" applyNumberFormat="1" applyFont="1" applyFill="1" applyBorder="1" applyAlignment="1">
      <alignment horizontal="center" vertical="center" wrapText="1"/>
    </xf>
    <xf numFmtId="171" fontId="0" fillId="0" borderId="13" xfId="212" applyNumberFormat="1" applyFont="1" applyFill="1" applyBorder="1" applyAlignment="1">
      <alignment vertical="center"/>
    </xf>
    <xf numFmtId="0" fontId="0" fillId="0" borderId="13" xfId="0" applyFill="1" applyBorder="1" applyAlignment="1">
      <alignment horizontal="center" vertical="center"/>
    </xf>
    <xf numFmtId="14" fontId="86" fillId="0" borderId="13"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3" fontId="89" fillId="0" borderId="13" xfId="0" applyNumberFormat="1" applyFont="1" applyFill="1" applyBorder="1" applyAlignment="1">
      <alignment horizontal="right" vertical="center"/>
    </xf>
    <xf numFmtId="0" fontId="63" fillId="0" borderId="13" xfId="0" applyFont="1" applyBorder="1" applyAlignment="1">
      <alignment horizontal="center" vertical="center"/>
    </xf>
    <xf numFmtId="1" fontId="100" fillId="51" borderId="0" xfId="0" applyNumberFormat="1" applyFont="1" applyFill="1"/>
    <xf numFmtId="0" fontId="88" fillId="51" borderId="13" xfId="0" applyFont="1" applyFill="1" applyBorder="1" applyAlignment="1">
      <alignment horizontal="left" vertical="center" wrapText="1"/>
    </xf>
    <xf numFmtId="0" fontId="88" fillId="51" borderId="13" xfId="0" applyFont="1" applyFill="1" applyBorder="1" applyAlignment="1">
      <alignment horizontal="right" vertical="center"/>
    </xf>
    <xf numFmtId="3" fontId="88" fillId="51" borderId="13" xfId="79" applyNumberFormat="1" applyFont="1" applyFill="1" applyBorder="1" applyAlignment="1">
      <alignment horizontal="right" vertical="center"/>
    </xf>
    <xf numFmtId="0" fontId="93" fillId="51" borderId="13" xfId="0" applyFont="1" applyFill="1" applyBorder="1" applyAlignment="1">
      <alignment horizontal="center" vertical="center"/>
    </xf>
    <xf numFmtId="0" fontId="93" fillId="51" borderId="13" xfId="0" applyFont="1" applyFill="1" applyBorder="1" applyAlignment="1">
      <alignment horizontal="left" vertical="top" wrapText="1"/>
    </xf>
    <xf numFmtId="173" fontId="93" fillId="51" borderId="13" xfId="0" applyNumberFormat="1" applyFont="1" applyFill="1" applyBorder="1" applyAlignment="1">
      <alignment horizontal="right" vertical="center"/>
    </xf>
    <xf numFmtId="14" fontId="88" fillId="51" borderId="13" xfId="0" applyNumberFormat="1" applyFont="1" applyFill="1" applyBorder="1" applyAlignment="1">
      <alignment horizontal="center" vertical="center"/>
    </xf>
    <xf numFmtId="0" fontId="93" fillId="51" borderId="13" xfId="0" applyFont="1" applyFill="1" applyBorder="1"/>
    <xf numFmtId="173" fontId="93" fillId="51" borderId="16" xfId="0" applyNumberFormat="1" applyFont="1" applyFill="1" applyBorder="1" applyAlignment="1">
      <alignment horizontal="right" vertical="center"/>
    </xf>
    <xf numFmtId="0" fontId="100" fillId="51" borderId="13" xfId="0" applyFont="1" applyFill="1" applyBorder="1"/>
    <xf numFmtId="0" fontId="72" fillId="51" borderId="13" xfId="0" applyFont="1" applyFill="1" applyBorder="1" applyAlignment="1">
      <alignment horizontal="center"/>
    </xf>
    <xf numFmtId="0" fontId="100" fillId="51" borderId="0" xfId="0" applyFont="1" applyFill="1"/>
    <xf numFmtId="1" fontId="100" fillId="0" borderId="0" xfId="0" applyNumberFormat="1" applyFont="1" applyFill="1"/>
    <xf numFmtId="0" fontId="88" fillId="54" borderId="13" xfId="0" applyFont="1" applyFill="1" applyBorder="1" applyAlignment="1">
      <alignment horizontal="left" vertical="center" wrapText="1"/>
    </xf>
    <xf numFmtId="0" fontId="93" fillId="0" borderId="13" xfId="0" applyFont="1" applyFill="1" applyBorder="1" applyAlignment="1">
      <alignment horizontal="center" vertical="center"/>
    </xf>
    <xf numFmtId="0" fontId="93" fillId="0" borderId="13" xfId="0" applyFont="1" applyFill="1" applyBorder="1" applyAlignment="1">
      <alignment horizontal="left" vertical="top" wrapText="1"/>
    </xf>
    <xf numFmtId="14" fontId="88" fillId="0" borderId="13" xfId="0" applyNumberFormat="1" applyFont="1" applyFill="1" applyBorder="1" applyAlignment="1">
      <alignment horizontal="center" vertical="center"/>
    </xf>
    <xf numFmtId="0" fontId="93" fillId="0" borderId="13" xfId="0" applyFont="1" applyFill="1" applyBorder="1"/>
    <xf numFmtId="0" fontId="100" fillId="0" borderId="13" xfId="0" applyFont="1" applyFill="1" applyBorder="1"/>
    <xf numFmtId="0" fontId="72" fillId="0" borderId="13" xfId="0" applyFont="1" applyFill="1" applyBorder="1"/>
    <xf numFmtId="0" fontId="100" fillId="0" borderId="0" xfId="0" applyFont="1" applyFill="1"/>
    <xf numFmtId="3" fontId="86" fillId="0" borderId="13" xfId="79" applyNumberFormat="1" applyFont="1" applyFill="1" applyBorder="1" applyAlignment="1">
      <alignment horizontal="right" vertical="center" wrapText="1"/>
    </xf>
    <xf numFmtId="14" fontId="86" fillId="0" borderId="13" xfId="0" applyNumberFormat="1" applyFont="1" applyFill="1" applyBorder="1"/>
    <xf numFmtId="3" fontId="86" fillId="0" borderId="0" xfId="0" applyNumberFormat="1" applyFont="1" applyFill="1" applyAlignment="1">
      <alignment horizontal="right" vertical="center"/>
    </xf>
    <xf numFmtId="170" fontId="86" fillId="0" borderId="16" xfId="79" applyNumberFormat="1" applyFont="1" applyFill="1" applyBorder="1" applyAlignment="1">
      <alignment horizontal="right" vertical="center" wrapText="1"/>
    </xf>
    <xf numFmtId="1" fontId="72" fillId="0" borderId="0" xfId="0" applyNumberFormat="1" applyFont="1" applyFill="1"/>
    <xf numFmtId="0" fontId="72" fillId="0" borderId="0" xfId="0" applyFont="1" applyFill="1"/>
    <xf numFmtId="0" fontId="86" fillId="0" borderId="13" xfId="0" applyFont="1" applyFill="1" applyBorder="1" applyAlignment="1">
      <alignment horizontal="left" vertical="center" wrapText="1"/>
    </xf>
    <xf numFmtId="3" fontId="88" fillId="0" borderId="0" xfId="0" applyNumberFormat="1" applyFont="1" applyFill="1" applyAlignment="1">
      <alignment horizontal="right" vertical="center"/>
    </xf>
    <xf numFmtId="3" fontId="88" fillId="0" borderId="13" xfId="79" applyNumberFormat="1" applyFont="1" applyFill="1" applyBorder="1" applyAlignment="1">
      <alignment horizontal="right" vertical="center" wrapText="1"/>
    </xf>
    <xf numFmtId="173" fontId="88" fillId="0" borderId="13" xfId="0" applyNumberFormat="1" applyFont="1" applyFill="1" applyBorder="1" applyAlignment="1">
      <alignment horizontal="right" vertical="center"/>
    </xf>
    <xf numFmtId="173" fontId="88" fillId="0" borderId="16" xfId="0" applyNumberFormat="1" applyFont="1" applyFill="1" applyBorder="1" applyAlignment="1">
      <alignment horizontal="right" vertical="center"/>
    </xf>
    <xf numFmtId="0" fontId="72" fillId="0" borderId="13" xfId="0" applyFont="1" applyFill="1" applyBorder="1" applyAlignment="1">
      <alignment wrapText="1"/>
    </xf>
    <xf numFmtId="1" fontId="72" fillId="29" borderId="0" xfId="0" applyNumberFormat="1" applyFont="1" applyFill="1"/>
    <xf numFmtId="0" fontId="88" fillId="29" borderId="13" xfId="0" applyFont="1" applyFill="1" applyBorder="1" applyAlignment="1">
      <alignment horizontal="left" vertical="center" wrapText="1"/>
    </xf>
    <xf numFmtId="3" fontId="88" fillId="29" borderId="0" xfId="0" applyNumberFormat="1" applyFont="1" applyFill="1" applyAlignment="1">
      <alignment horizontal="right" vertical="center"/>
    </xf>
    <xf numFmtId="3" fontId="88" fillId="29" borderId="13" xfId="79" applyNumberFormat="1" applyFont="1" applyFill="1" applyBorder="1" applyAlignment="1">
      <alignment horizontal="right" vertical="center" wrapText="1"/>
    </xf>
    <xf numFmtId="0" fontId="88" fillId="38" borderId="13" xfId="0" applyFont="1" applyFill="1" applyBorder="1" applyAlignment="1">
      <alignment horizontal="center" vertical="center"/>
    </xf>
    <xf numFmtId="0" fontId="88" fillId="38" borderId="13" xfId="0" applyFont="1" applyFill="1" applyBorder="1" applyAlignment="1">
      <alignment horizontal="left" vertical="center" wrapText="1"/>
    </xf>
    <xf numFmtId="173" fontId="88" fillId="38" borderId="13" xfId="0" applyNumberFormat="1" applyFont="1" applyFill="1" applyBorder="1" applyAlignment="1">
      <alignment horizontal="right" vertical="center"/>
    </xf>
    <xf numFmtId="0" fontId="88" fillId="38" borderId="13" xfId="0" applyFont="1" applyFill="1" applyBorder="1"/>
    <xf numFmtId="173" fontId="88" fillId="38" borderId="16" xfId="0" applyNumberFormat="1" applyFont="1" applyFill="1" applyBorder="1" applyAlignment="1">
      <alignment horizontal="right" vertical="center"/>
    </xf>
    <xf numFmtId="0" fontId="72" fillId="38" borderId="13" xfId="0" applyFont="1" applyFill="1" applyBorder="1"/>
    <xf numFmtId="0" fontId="72" fillId="29" borderId="0" xfId="0" applyFont="1" applyFill="1"/>
    <xf numFmtId="3" fontId="86" fillId="0" borderId="13" xfId="0" applyNumberFormat="1" applyFont="1" applyFill="1" applyBorder="1" applyAlignment="1">
      <alignment horizontal="center" vertical="center"/>
    </xf>
    <xf numFmtId="0" fontId="64" fillId="0" borderId="13" xfId="0" applyFont="1" applyBorder="1" applyAlignment="1">
      <alignment horizontal="justify" vertical="center" wrapText="1"/>
    </xf>
    <xf numFmtId="171" fontId="64" fillId="0" borderId="13" xfId="212" applyNumberFormat="1" applyFont="1" applyBorder="1" applyAlignment="1">
      <alignment vertical="center" wrapText="1"/>
    </xf>
    <xf numFmtId="171" fontId="0" fillId="0" borderId="16" xfId="212" applyNumberFormat="1" applyFont="1" applyBorder="1" applyAlignment="1">
      <alignment vertical="center" wrapText="1"/>
    </xf>
    <xf numFmtId="1" fontId="64" fillId="0" borderId="0" xfId="0" applyNumberFormat="1" applyFont="1" applyFill="1"/>
    <xf numFmtId="0" fontId="94" fillId="0" borderId="13" xfId="0" applyFont="1" applyFill="1" applyBorder="1" applyAlignment="1">
      <alignment horizontal="center" vertical="center"/>
    </xf>
    <xf numFmtId="14" fontId="64" fillId="0" borderId="13" xfId="0" applyNumberFormat="1" applyFont="1" applyBorder="1" applyAlignment="1">
      <alignment vertical="center" wrapText="1"/>
    </xf>
    <xf numFmtId="0" fontId="94" fillId="0" borderId="13" xfId="0" applyFont="1" applyFill="1" applyBorder="1"/>
    <xf numFmtId="3" fontId="94" fillId="0" borderId="13" xfId="0" applyNumberFormat="1" applyFont="1" applyBorder="1" applyAlignment="1">
      <alignment horizontal="right" vertical="center"/>
    </xf>
    <xf numFmtId="171" fontId="64" fillId="0" borderId="16" xfId="212" applyNumberFormat="1" applyFont="1" applyBorder="1" applyAlignment="1">
      <alignment vertical="center" wrapText="1"/>
    </xf>
    <xf numFmtId="0" fontId="64" fillId="0" borderId="13" xfId="0" applyFont="1" applyFill="1" applyBorder="1"/>
    <xf numFmtId="0" fontId="64" fillId="0" borderId="0" xfId="0" applyFont="1" applyFill="1"/>
    <xf numFmtId="3" fontId="0" fillId="0" borderId="16" xfId="0" applyNumberFormat="1" applyFont="1" applyFill="1" applyBorder="1" applyAlignment="1">
      <alignment horizontal="right" vertical="center"/>
    </xf>
    <xf numFmtId="3" fontId="99" fillId="0" borderId="13" xfId="0" applyNumberFormat="1" applyFont="1" applyFill="1" applyBorder="1" applyAlignment="1">
      <alignment horizontal="right" vertical="center"/>
    </xf>
    <xf numFmtId="0" fontId="88" fillId="0" borderId="13" xfId="0" applyFont="1" applyFill="1" applyBorder="1" applyAlignment="1">
      <alignment horizontal="center" vertical="center" wrapText="1"/>
    </xf>
    <xf numFmtId="3" fontId="101" fillId="0" borderId="13" xfId="0" applyNumberFormat="1" applyFont="1" applyFill="1" applyBorder="1" applyAlignment="1">
      <alignment horizontal="right" vertical="center"/>
    </xf>
    <xf numFmtId="0" fontId="89" fillId="0" borderId="13" xfId="0" applyFont="1" applyFill="1" applyBorder="1" applyAlignment="1">
      <alignment horizontal="center" vertical="center"/>
    </xf>
    <xf numFmtId="1" fontId="86" fillId="0" borderId="0" xfId="0" applyNumberFormat="1" applyFont="1" applyFill="1"/>
    <xf numFmtId="3" fontId="86" fillId="0" borderId="13" xfId="212" applyNumberFormat="1" applyFont="1" applyFill="1" applyBorder="1" applyAlignment="1">
      <alignment horizontal="right" vertical="center"/>
    </xf>
    <xf numFmtId="0" fontId="86" fillId="0" borderId="13" xfId="0" applyFont="1" applyFill="1" applyBorder="1" applyAlignment="1">
      <alignment horizontal="center" vertical="center" wrapText="1"/>
    </xf>
    <xf numFmtId="0" fontId="86" fillId="0" borderId="0" xfId="0" applyFont="1" applyFill="1" applyAlignment="1">
      <alignment horizontal="center" vertical="center"/>
    </xf>
    <xf numFmtId="166" fontId="86" fillId="0" borderId="16" xfId="212" applyFont="1" applyFill="1" applyBorder="1" applyAlignment="1">
      <alignment horizontal="right" vertical="center"/>
    </xf>
    <xf numFmtId="170" fontId="86" fillId="0" borderId="13" xfId="79" applyNumberFormat="1" applyFont="1" applyFill="1" applyBorder="1" applyAlignment="1">
      <alignment vertical="center"/>
    </xf>
    <xf numFmtId="3" fontId="102" fillId="0" borderId="13" xfId="0" applyNumberFormat="1" applyFont="1" applyFill="1" applyBorder="1" applyAlignment="1">
      <alignment horizontal="right" vertical="center"/>
    </xf>
    <xf numFmtId="1" fontId="0" fillId="29" borderId="0" xfId="0" applyNumberFormat="1" applyFill="1"/>
    <xf numFmtId="0" fontId="64" fillId="29" borderId="13" xfId="0" applyFont="1" applyFill="1" applyBorder="1" applyAlignment="1">
      <alignment horizontal="left" vertical="center" wrapText="1"/>
    </xf>
    <xf numFmtId="3" fontId="64" fillId="29" borderId="13" xfId="0" applyNumberFormat="1" applyFont="1" applyFill="1" applyBorder="1" applyAlignment="1">
      <alignment horizontal="right" vertical="center"/>
    </xf>
    <xf numFmtId="0" fontId="86" fillId="38" borderId="13" xfId="0" applyFont="1" applyFill="1" applyBorder="1" applyAlignment="1">
      <alignment horizontal="center" vertical="center"/>
    </xf>
    <xf numFmtId="0" fontId="86" fillId="38" borderId="13" xfId="0" applyFont="1" applyFill="1" applyBorder="1" applyAlignment="1">
      <alignment horizontal="left" vertical="top"/>
    </xf>
    <xf numFmtId="173" fontId="86" fillId="38" borderId="13" xfId="0" applyNumberFormat="1" applyFont="1" applyFill="1" applyBorder="1" applyAlignment="1">
      <alignment horizontal="right" vertical="center"/>
    </xf>
    <xf numFmtId="14" fontId="86" fillId="38" borderId="13" xfId="0" applyNumberFormat="1" applyFont="1" applyFill="1" applyBorder="1" applyAlignment="1">
      <alignment horizontal="center" vertical="center"/>
    </xf>
    <xf numFmtId="0" fontId="86" fillId="38" borderId="13" xfId="0" applyFont="1" applyFill="1" applyBorder="1"/>
    <xf numFmtId="3" fontId="64" fillId="38" borderId="13" xfId="0" applyNumberFormat="1" applyFont="1" applyFill="1" applyBorder="1" applyAlignment="1">
      <alignment horizontal="right" vertical="center"/>
    </xf>
    <xf numFmtId="0" fontId="0" fillId="29" borderId="0" xfId="0" applyFill="1"/>
    <xf numFmtId="170" fontId="86" fillId="0" borderId="13" xfId="79" applyNumberFormat="1" applyFont="1" applyFill="1" applyBorder="1" applyAlignment="1">
      <alignment horizontal="center" vertical="center"/>
    </xf>
    <xf numFmtId="0" fontId="0" fillId="36" borderId="13" xfId="0" applyFill="1" applyBorder="1"/>
    <xf numFmtId="0" fontId="63" fillId="36" borderId="13" xfId="0" applyFont="1" applyFill="1" applyBorder="1"/>
    <xf numFmtId="9" fontId="2" fillId="0" borderId="13" xfId="355" applyNumberFormat="1" applyFill="1" applyBorder="1" applyAlignment="1" applyProtection="1">
      <alignment vertical="center"/>
      <protection locked="0"/>
    </xf>
    <xf numFmtId="9" fontId="2" fillId="0" borderId="13" xfId="437" applyFont="1" applyBorder="1" applyAlignment="1" applyProtection="1">
      <alignment vertical="center"/>
      <protection locked="0"/>
    </xf>
    <xf numFmtId="0" fontId="2" fillId="0" borderId="13" xfId="355" applyFill="1" applyBorder="1" applyAlignment="1" applyProtection="1">
      <alignment horizontal="center" vertical="center"/>
    </xf>
    <xf numFmtId="193" fontId="2" fillId="0" borderId="16" xfId="355" applyNumberFormat="1" applyFill="1" applyBorder="1" applyAlignment="1" applyProtection="1">
      <alignment horizontal="center" vertical="center"/>
    </xf>
    <xf numFmtId="0" fontId="2" fillId="0" borderId="13" xfId="355" applyFill="1" applyBorder="1" applyAlignment="1" applyProtection="1">
      <alignment horizontal="center" vertical="center" wrapText="1"/>
    </xf>
    <xf numFmtId="14" fontId="2" fillId="0" borderId="13" xfId="355" applyNumberFormat="1" applyFill="1" applyBorder="1" applyAlignment="1" applyProtection="1">
      <alignment horizontal="center" vertical="center"/>
    </xf>
    <xf numFmtId="0" fontId="2" fillId="0" borderId="0" xfId="355" applyFill="1" applyAlignment="1" applyProtection="1">
      <alignment vertical="center"/>
      <protection locked="0"/>
    </xf>
    <xf numFmtId="10" fontId="2" fillId="0" borderId="13" xfId="437" applyNumberFormat="1" applyFont="1" applyBorder="1" applyAlignment="1" applyProtection="1">
      <alignment vertical="center"/>
      <protection locked="0"/>
    </xf>
    <xf numFmtId="9" fontId="2" fillId="0" borderId="13" xfId="437" applyFont="1" applyFill="1" applyBorder="1" applyAlignment="1" applyProtection="1">
      <alignment vertical="center"/>
      <protection locked="0"/>
    </xf>
    <xf numFmtId="14" fontId="2" fillId="0" borderId="13" xfId="355" applyNumberFormat="1" applyFill="1" applyBorder="1" applyAlignment="1" applyProtection="1">
      <alignment horizontal="center" vertical="center"/>
      <protection locked="0"/>
    </xf>
    <xf numFmtId="14" fontId="2" fillId="0" borderId="13" xfId="355" applyNumberFormat="1" applyBorder="1" applyAlignment="1" applyProtection="1">
      <alignment horizontal="center" vertical="center"/>
      <protection locked="0"/>
    </xf>
    <xf numFmtId="166" fontId="2" fillId="0" borderId="13" xfId="212" applyFont="1" applyBorder="1" applyAlignment="1" applyProtection="1">
      <alignment horizontal="center" vertical="center"/>
    </xf>
    <xf numFmtId="193" fontId="2" fillId="0" borderId="13" xfId="355" applyNumberFormat="1" applyBorder="1" applyAlignment="1" applyProtection="1">
      <alignment horizontal="center" vertical="center" wrapText="1"/>
    </xf>
    <xf numFmtId="0" fontId="2" fillId="0" borderId="13" xfId="355" applyFill="1" applyBorder="1" applyAlignment="1" applyProtection="1">
      <alignment vertical="center" wrapText="1"/>
    </xf>
    <xf numFmtId="0" fontId="2" fillId="0" borderId="13" xfId="355" applyFill="1" applyBorder="1" applyAlignment="1" applyProtection="1">
      <alignment vertical="center"/>
      <protection locked="0"/>
    </xf>
    <xf numFmtId="193" fontId="2" fillId="0" borderId="0" xfId="355" applyNumberFormat="1" applyAlignment="1" applyProtection="1">
      <alignment vertical="center"/>
    </xf>
    <xf numFmtId="0" fontId="6" fillId="31" borderId="17" xfId="355" applyFont="1" applyFill="1" applyBorder="1" applyAlignment="1" applyProtection="1">
      <alignment horizontal="center" vertical="center" wrapText="1"/>
    </xf>
    <xf numFmtId="0" fontId="2" fillId="0" borderId="20" xfId="355" applyBorder="1" applyAlignment="1" applyProtection="1">
      <alignment horizontal="center" vertical="center" wrapText="1"/>
    </xf>
    <xf numFmtId="0" fontId="73" fillId="0" borderId="23" xfId="0" applyFont="1" applyBorder="1" applyAlignment="1">
      <alignment vertical="center"/>
    </xf>
    <xf numFmtId="0" fontId="73" fillId="0" borderId="46" xfId="0" applyFont="1" applyBorder="1" applyAlignment="1">
      <alignment vertical="center"/>
    </xf>
    <xf numFmtId="0" fontId="6" fillId="55" borderId="17" xfId="379" applyFont="1" applyFill="1" applyBorder="1" applyAlignment="1" applyProtection="1">
      <alignment horizontal="center" vertical="center" wrapText="1"/>
    </xf>
    <xf numFmtId="0" fontId="6" fillId="52" borderId="17" xfId="379" applyFont="1" applyFill="1" applyBorder="1" applyAlignment="1" applyProtection="1">
      <alignment horizontal="center" vertical="center" wrapText="1"/>
      <protection locked="0"/>
    </xf>
    <xf numFmtId="0" fontId="3" fillId="0" borderId="13" xfId="379" applyFont="1" applyBorder="1" applyAlignment="1" applyProtection="1">
      <alignment horizontal="center" vertical="center" wrapText="1"/>
    </xf>
    <xf numFmtId="0" fontId="3" fillId="0" borderId="16" xfId="379" applyFont="1" applyBorder="1" applyAlignment="1" applyProtection="1">
      <alignment horizontal="center" vertical="center" wrapText="1"/>
    </xf>
    <xf numFmtId="0" fontId="3" fillId="0" borderId="56" xfId="379" applyFont="1" applyBorder="1" applyAlignment="1" applyProtection="1">
      <alignment vertical="center" wrapText="1"/>
    </xf>
    <xf numFmtId="193" fontId="3" fillId="0" borderId="56" xfId="379" applyNumberFormat="1" applyFont="1" applyBorder="1" applyAlignment="1" applyProtection="1">
      <alignment horizontal="center" vertical="center" wrapText="1"/>
    </xf>
    <xf numFmtId="0" fontId="3" fillId="0" borderId="57" xfId="379" applyFont="1" applyBorder="1" applyAlignment="1" applyProtection="1">
      <alignment horizontal="left" vertical="center" wrapText="1"/>
    </xf>
    <xf numFmtId="193" fontId="3" fillId="0" borderId="57" xfId="379" applyNumberFormat="1" applyFont="1" applyBorder="1" applyAlignment="1" applyProtection="1">
      <alignment horizontal="center" vertical="center" wrapText="1"/>
    </xf>
    <xf numFmtId="0" fontId="3" fillId="56" borderId="12" xfId="379" applyFont="1" applyFill="1" applyBorder="1" applyAlignment="1" applyProtection="1">
      <alignment vertical="center" wrapText="1"/>
    </xf>
    <xf numFmtId="193" fontId="3" fillId="0" borderId="13" xfId="379" applyNumberFormat="1" applyFont="1" applyBorder="1" applyAlignment="1" applyProtection="1">
      <alignment horizontal="center" vertical="center" wrapText="1"/>
    </xf>
    <xf numFmtId="0" fontId="3" fillId="0" borderId="55" xfId="379" applyFont="1" applyBorder="1" applyAlignment="1" applyProtection="1">
      <alignment horizontal="left" vertical="center" wrapText="1"/>
    </xf>
    <xf numFmtId="193" fontId="3" fillId="0" borderId="46" xfId="379" applyNumberFormat="1" applyFont="1" applyBorder="1" applyAlignment="1" applyProtection="1">
      <alignment horizontal="center" vertical="center" wrapText="1"/>
    </xf>
    <xf numFmtId="17" fontId="3" fillId="0" borderId="17" xfId="379" applyNumberFormat="1" applyFont="1" applyBorder="1" applyAlignment="1" applyProtection="1">
      <alignment horizontal="center" vertical="center" wrapText="1"/>
    </xf>
    <xf numFmtId="0" fontId="3" fillId="0" borderId="43" xfId="379" applyFont="1" applyBorder="1" applyAlignment="1" applyProtection="1">
      <alignment horizontal="center" vertical="center" wrapText="1"/>
    </xf>
    <xf numFmtId="0" fontId="3" fillId="0" borderId="17" xfId="379" applyFont="1" applyBorder="1" applyAlignment="1" applyProtection="1">
      <alignment horizontal="center" vertical="center" wrapText="1"/>
    </xf>
    <xf numFmtId="0" fontId="3" fillId="0" borderId="17" xfId="379" applyFont="1" applyBorder="1" applyAlignment="1" applyProtection="1">
      <alignment vertical="center" wrapText="1"/>
    </xf>
    <xf numFmtId="0" fontId="3" fillId="0" borderId="0" xfId="379" applyFont="1" applyBorder="1" applyAlignment="1" applyProtection="1">
      <alignment horizontal="center" vertical="center" wrapText="1"/>
    </xf>
    <xf numFmtId="164" fontId="103" fillId="0" borderId="74" xfId="0" applyNumberFormat="1" applyFont="1" applyBorder="1" applyAlignment="1">
      <alignment horizontal="center" vertical="center" wrapText="1"/>
    </xf>
    <xf numFmtId="0" fontId="123" fillId="0" borderId="45" xfId="0" applyFont="1" applyBorder="1" applyAlignment="1">
      <alignment vertical="center" wrapText="1"/>
    </xf>
    <xf numFmtId="0" fontId="123" fillId="0" borderId="45" xfId="0" applyFont="1" applyBorder="1" applyAlignment="1">
      <alignment horizontal="center" vertical="center" wrapText="1"/>
    </xf>
    <xf numFmtId="0" fontId="3" fillId="0" borderId="17" xfId="379" applyFont="1" applyBorder="1" applyAlignment="1" applyProtection="1">
      <alignment horizontal="left" vertical="center" wrapText="1"/>
    </xf>
    <xf numFmtId="193" fontId="3" fillId="0" borderId="17" xfId="379" applyNumberFormat="1" applyFont="1" applyBorder="1" applyAlignment="1" applyProtection="1">
      <alignment horizontal="center" vertical="center" wrapText="1"/>
    </xf>
    <xf numFmtId="17" fontId="3" fillId="0" borderId="46" xfId="379" applyNumberFormat="1" applyFont="1" applyBorder="1" applyAlignment="1" applyProtection="1">
      <alignment horizontal="center" vertical="center" wrapText="1"/>
    </xf>
    <xf numFmtId="0" fontId="3" fillId="0" borderId="46" xfId="379" applyFont="1" applyBorder="1" applyAlignment="1" applyProtection="1">
      <alignment horizontal="center" vertical="center" wrapText="1"/>
    </xf>
    <xf numFmtId="173" fontId="3" fillId="0" borderId="51" xfId="379" applyNumberFormat="1" applyFont="1" applyBorder="1" applyAlignment="1" applyProtection="1">
      <alignment horizontal="center" vertical="center" wrapText="1"/>
    </xf>
    <xf numFmtId="0" fontId="123" fillId="0" borderId="17" xfId="0" applyFont="1" applyBorder="1" applyAlignment="1">
      <alignment vertical="center" wrapText="1"/>
    </xf>
    <xf numFmtId="0" fontId="123" fillId="0" borderId="46" xfId="0" applyFont="1" applyBorder="1" applyAlignment="1">
      <alignment vertical="center" wrapText="1"/>
    </xf>
    <xf numFmtId="164" fontId="103" fillId="0" borderId="17" xfId="0" applyNumberFormat="1" applyFont="1" applyBorder="1" applyAlignment="1">
      <alignment horizontal="center" vertical="center" wrapText="1"/>
    </xf>
    <xf numFmtId="0" fontId="123" fillId="0" borderId="17" xfId="0" applyFont="1" applyBorder="1" applyAlignment="1">
      <alignment horizontal="center" vertical="center" wrapText="1"/>
    </xf>
    <xf numFmtId="3" fontId="3" fillId="0" borderId="17" xfId="379" applyNumberFormat="1" applyFont="1" applyBorder="1" applyAlignment="1" applyProtection="1">
      <alignment horizontal="center" vertical="center" wrapText="1"/>
    </xf>
    <xf numFmtId="164" fontId="3" fillId="0" borderId="51" xfId="379" applyNumberFormat="1" applyFont="1" applyBorder="1" applyAlignment="1" applyProtection="1">
      <alignment horizontal="center" vertical="center" wrapText="1"/>
    </xf>
    <xf numFmtId="0" fontId="123" fillId="0" borderId="49" xfId="0" applyFont="1" applyBorder="1" applyAlignment="1">
      <alignment vertical="center" wrapText="1"/>
    </xf>
    <xf numFmtId="164" fontId="103" fillId="0" borderId="48" xfId="0" applyNumberFormat="1" applyFont="1" applyBorder="1" applyAlignment="1">
      <alignment horizontal="center" vertical="center" wrapText="1"/>
    </xf>
    <xf numFmtId="3" fontId="3" fillId="0" borderId="21" xfId="379" applyNumberFormat="1" applyFont="1" applyFill="1" applyBorder="1" applyAlignment="1" applyProtection="1">
      <alignment horizontal="center" vertical="center" wrapText="1"/>
    </xf>
    <xf numFmtId="0" fontId="3" fillId="0" borderId="21" xfId="379" applyFont="1" applyFill="1" applyBorder="1" applyAlignment="1" applyProtection="1">
      <alignment horizontal="center" vertical="center" wrapText="1"/>
    </xf>
    <xf numFmtId="0" fontId="3" fillId="0" borderId="75" xfId="379" applyFont="1" applyFill="1" applyBorder="1" applyAlignment="1" applyProtection="1">
      <alignment horizontal="left" vertical="center" wrapText="1"/>
    </xf>
    <xf numFmtId="3" fontId="3" fillId="0" borderId="17" xfId="379" applyNumberFormat="1" applyFont="1" applyFill="1" applyBorder="1" applyAlignment="1" applyProtection="1">
      <alignment horizontal="center" vertical="center" wrapText="1"/>
    </xf>
    <xf numFmtId="17" fontId="3" fillId="0" borderId="17" xfId="379" applyNumberFormat="1" applyFont="1" applyFill="1" applyBorder="1" applyAlignment="1" applyProtection="1">
      <alignment horizontal="center" vertical="center" wrapText="1"/>
    </xf>
    <xf numFmtId="0" fontId="3" fillId="0" borderId="17" xfId="379" applyFont="1" applyFill="1" applyBorder="1" applyAlignment="1" applyProtection="1">
      <alignment horizontal="center" vertical="center" wrapText="1"/>
    </xf>
    <xf numFmtId="3" fontId="3" fillId="0" borderId="48" xfId="379" applyNumberFormat="1" applyFont="1" applyFill="1" applyBorder="1" applyAlignment="1" applyProtection="1">
      <alignment horizontal="center" vertical="center" wrapText="1"/>
    </xf>
    <xf numFmtId="0" fontId="3" fillId="0" borderId="48" xfId="379" applyFont="1" applyFill="1" applyBorder="1" applyAlignment="1" applyProtection="1">
      <alignment vertical="center" wrapText="1"/>
    </xf>
    <xf numFmtId="164" fontId="3" fillId="0" borderId="50" xfId="379" applyNumberFormat="1" applyFont="1" applyBorder="1" applyAlignment="1" applyProtection="1">
      <alignment horizontal="center" vertical="center" wrapText="1"/>
    </xf>
    <xf numFmtId="0" fontId="123" fillId="0" borderId="48" xfId="0" applyFont="1" applyBorder="1" applyAlignment="1">
      <alignment vertical="center" wrapText="1"/>
    </xf>
    <xf numFmtId="3" fontId="15" fillId="26" borderId="13" xfId="0" applyNumberFormat="1" applyFont="1" applyFill="1" applyBorder="1" applyAlignment="1" applyProtection="1">
      <alignment vertical="center" wrapText="1"/>
    </xf>
    <xf numFmtId="0" fontId="2" fillId="26" borderId="13" xfId="355" applyFill="1" applyBorder="1" applyAlignment="1" applyProtection="1">
      <alignment horizontal="center" vertical="center"/>
    </xf>
    <xf numFmtId="0" fontId="72" fillId="26" borderId="13" xfId="0" applyFont="1" applyFill="1" applyBorder="1"/>
    <xf numFmtId="193" fontId="4" fillId="26" borderId="13" xfId="355" applyNumberFormat="1" applyFont="1" applyFill="1" applyBorder="1" applyAlignment="1" applyProtection="1">
      <alignment horizontal="center" vertical="center"/>
    </xf>
    <xf numFmtId="0" fontId="4" fillId="26" borderId="13" xfId="355" applyFont="1" applyFill="1" applyBorder="1" applyAlignment="1" applyProtection="1">
      <alignment vertical="center"/>
    </xf>
    <xf numFmtId="0" fontId="4" fillId="26" borderId="13" xfId="355" applyFont="1" applyFill="1" applyBorder="1" applyAlignment="1" applyProtection="1">
      <alignment horizontal="center" vertical="center"/>
    </xf>
    <xf numFmtId="4" fontId="4" fillId="26" borderId="13" xfId="355" applyNumberFormat="1" applyFont="1" applyFill="1" applyBorder="1" applyAlignment="1" applyProtection="1">
      <alignment vertical="center" wrapText="1"/>
    </xf>
    <xf numFmtId="14" fontId="2" fillId="26" borderId="13" xfId="355" applyNumberFormat="1" applyFont="1" applyFill="1" applyBorder="1" applyAlignment="1" applyProtection="1">
      <alignment horizontal="center" vertical="center"/>
    </xf>
    <xf numFmtId="0" fontId="72" fillId="26" borderId="13" xfId="0" applyFont="1" applyFill="1" applyBorder="1" applyAlignment="1">
      <alignment horizontal="center" vertical="center"/>
    </xf>
    <xf numFmtId="43" fontId="2" fillId="26" borderId="13" xfId="143" applyFont="1" applyFill="1" applyBorder="1" applyAlignment="1" applyProtection="1">
      <alignment horizontal="center" vertical="center"/>
    </xf>
    <xf numFmtId="0" fontId="69" fillId="26" borderId="20" xfId="0" applyFont="1" applyFill="1" applyBorder="1" applyAlignment="1">
      <alignment horizontal="center" vertical="justify" wrapText="1"/>
    </xf>
    <xf numFmtId="0" fontId="72" fillId="26" borderId="13" xfId="0" applyFont="1" applyFill="1" applyBorder="1" applyAlignment="1">
      <alignment vertical="center" wrapText="1"/>
    </xf>
    <xf numFmtId="4" fontId="4" fillId="26" borderId="13" xfId="355" applyNumberFormat="1" applyFont="1" applyFill="1" applyBorder="1" applyAlignment="1" applyProtection="1">
      <alignment horizontal="center" vertical="center"/>
    </xf>
    <xf numFmtId="14" fontId="2" fillId="26" borderId="13" xfId="355" applyNumberFormat="1" applyFont="1" applyFill="1" applyBorder="1" applyAlignment="1" applyProtection="1">
      <alignment horizontal="center" vertical="center"/>
      <protection locked="0"/>
    </xf>
    <xf numFmtId="0" fontId="4" fillId="26" borderId="13" xfId="0" applyFont="1" applyFill="1" applyBorder="1" applyAlignment="1" applyProtection="1">
      <alignment horizontal="center" vertical="center" wrapText="1"/>
    </xf>
    <xf numFmtId="43" fontId="4" fillId="0" borderId="13" xfId="143" applyFont="1" applyBorder="1" applyAlignment="1" applyProtection="1">
      <alignment horizontal="center" vertical="center" wrapText="1"/>
    </xf>
    <xf numFmtId="0" fontId="32" fillId="26" borderId="13" xfId="0" applyFont="1" applyFill="1" applyBorder="1" applyAlignment="1" applyProtection="1">
      <alignment horizontal="center" vertical="center" wrapText="1"/>
    </xf>
    <xf numFmtId="0" fontId="124" fillId="26" borderId="13" xfId="0" applyFont="1" applyFill="1" applyBorder="1" applyAlignment="1" applyProtection="1">
      <alignment horizontal="center" vertical="center" wrapText="1"/>
    </xf>
    <xf numFmtId="0" fontId="72" fillId="0" borderId="13" xfId="0" applyFont="1" applyBorder="1" applyAlignment="1">
      <alignment horizontal="center"/>
    </xf>
    <xf numFmtId="0" fontId="125" fillId="26" borderId="13" xfId="0" applyFont="1" applyFill="1" applyBorder="1" applyAlignment="1" applyProtection="1">
      <alignment horizontal="center" vertical="center" wrapText="1"/>
    </xf>
    <xf numFmtId="167" fontId="2" fillId="26" borderId="13" xfId="143" applyNumberFormat="1" applyFont="1" applyFill="1" applyBorder="1" applyAlignment="1" applyProtection="1">
      <alignment horizontal="center" vertical="center"/>
    </xf>
    <xf numFmtId="0" fontId="72" fillId="26" borderId="13" xfId="0" applyFont="1" applyFill="1" applyBorder="1" applyAlignment="1">
      <alignment horizontal="center"/>
    </xf>
    <xf numFmtId="0" fontId="6" fillId="31" borderId="13" xfId="355" applyFont="1" applyFill="1" applyBorder="1" applyAlignment="1" applyProtection="1">
      <alignment horizontal="center" vertical="center" wrapText="1"/>
    </xf>
    <xf numFmtId="168" fontId="2" fillId="0" borderId="13" xfId="355" applyNumberFormat="1" applyBorder="1" applyAlignment="1" applyProtection="1">
      <alignment horizontal="center" vertical="center"/>
    </xf>
    <xf numFmtId="0" fontId="2" fillId="0" borderId="0" xfId="355" applyAlignment="1" applyProtection="1">
      <alignment horizontal="center" vertical="center"/>
      <protection locked="0"/>
    </xf>
    <xf numFmtId="0" fontId="120" fillId="45" borderId="0" xfId="355" applyFont="1" applyFill="1" applyAlignment="1" applyProtection="1">
      <alignment vertical="center"/>
    </xf>
    <xf numFmtId="0" fontId="74" fillId="45" borderId="0" xfId="355" applyFont="1" applyFill="1" applyAlignment="1" applyProtection="1">
      <alignment vertical="center"/>
    </xf>
    <xf numFmtId="0" fontId="74" fillId="45" borderId="0" xfId="355" applyFont="1" applyFill="1" applyBorder="1" applyAlignment="1" applyProtection="1">
      <alignment vertical="center"/>
    </xf>
    <xf numFmtId="14" fontId="2" fillId="44" borderId="13" xfId="429" applyNumberFormat="1" applyFont="1" applyFill="1" applyBorder="1" applyAlignment="1">
      <alignment horizontal="center" vertical="center" wrapText="1"/>
    </xf>
    <xf numFmtId="166" fontId="2" fillId="0" borderId="13" xfId="212" applyFont="1" applyBorder="1" applyAlignment="1" applyProtection="1">
      <alignment vertical="center"/>
    </xf>
    <xf numFmtId="9" fontId="2" fillId="0" borderId="13" xfId="437" applyFont="1" applyBorder="1" applyAlignment="1" applyProtection="1">
      <alignment horizontal="center" vertical="center"/>
      <protection locked="0"/>
    </xf>
    <xf numFmtId="0" fontId="38" fillId="0" borderId="13" xfId="0" applyFont="1" applyFill="1" applyBorder="1" applyAlignment="1">
      <alignment horizontal="left" vertical="center" wrapText="1"/>
    </xf>
    <xf numFmtId="168" fontId="2" fillId="0" borderId="13" xfId="355" applyNumberFormat="1" applyBorder="1" applyAlignment="1" applyProtection="1">
      <alignment horizontal="center" vertical="center"/>
    </xf>
    <xf numFmtId="0" fontId="6" fillId="31" borderId="13" xfId="355" applyFont="1" applyFill="1" applyBorder="1" applyAlignment="1" applyProtection="1">
      <alignment horizontal="center" vertical="center" wrapText="1"/>
    </xf>
    <xf numFmtId="0" fontId="2" fillId="0" borderId="16" xfId="355" applyBorder="1" applyAlignment="1" applyProtection="1">
      <alignment horizontal="center" vertical="center" wrapText="1"/>
      <protection locked="0"/>
    </xf>
    <xf numFmtId="0" fontId="2" fillId="0" borderId="76" xfId="355" applyBorder="1" applyAlignment="1" applyProtection="1">
      <alignment horizontal="center" vertical="center"/>
      <protection locked="0"/>
    </xf>
    <xf numFmtId="0" fontId="74" fillId="26" borderId="0" xfId="355" applyFont="1" applyFill="1" applyAlignment="1" applyProtection="1">
      <alignment horizontal="center" vertical="center"/>
    </xf>
    <xf numFmtId="0" fontId="74" fillId="26" borderId="0" xfId="355" applyFont="1" applyFill="1" applyAlignment="1" applyProtection="1">
      <alignment horizontal="centerContinuous" vertical="center" wrapText="1"/>
    </xf>
    <xf numFmtId="170" fontId="74" fillId="26" borderId="0" xfId="79" applyNumberFormat="1" applyFont="1" applyFill="1" applyAlignment="1" applyProtection="1">
      <alignment horizontal="centerContinuous" vertical="center"/>
    </xf>
    <xf numFmtId="170" fontId="5" fillId="32" borderId="16" xfId="79" applyNumberFormat="1" applyFont="1" applyFill="1" applyBorder="1" applyAlignment="1" applyProtection="1">
      <alignment horizontal="center" vertical="center"/>
      <protection locked="0"/>
    </xf>
    <xf numFmtId="0" fontId="2" fillId="0" borderId="78" xfId="355" applyBorder="1" applyAlignment="1" applyProtection="1">
      <alignment horizontal="center" vertical="center"/>
      <protection locked="0"/>
    </xf>
    <xf numFmtId="0" fontId="2" fillId="0" borderId="77" xfId="355" applyBorder="1" applyAlignment="1" applyProtection="1">
      <alignment vertical="center"/>
      <protection locked="0"/>
    </xf>
    <xf numFmtId="0" fontId="2" fillId="0" borderId="78" xfId="355" applyBorder="1" applyAlignment="1" applyProtection="1">
      <alignment vertical="center"/>
      <protection locked="0"/>
    </xf>
    <xf numFmtId="170" fontId="2" fillId="0" borderId="13" xfId="79" applyNumberFormat="1" applyFont="1" applyBorder="1" applyAlignment="1" applyProtection="1">
      <alignment vertical="center"/>
    </xf>
    <xf numFmtId="170" fontId="2" fillId="0" borderId="16" xfId="79" applyNumberFormat="1" applyFont="1" applyBorder="1" applyAlignment="1" applyProtection="1">
      <alignment horizontal="center" vertical="center"/>
    </xf>
    <xf numFmtId="0" fontId="2" fillId="0" borderId="77" xfId="355" applyBorder="1" applyAlignment="1" applyProtection="1">
      <alignment vertical="center"/>
    </xf>
    <xf numFmtId="0" fontId="5" fillId="57" borderId="13" xfId="0" applyFont="1" applyFill="1" applyBorder="1"/>
    <xf numFmtId="170" fontId="1" fillId="0" borderId="0" xfId="201" applyNumberFormat="1" applyFont="1"/>
    <xf numFmtId="0" fontId="2" fillId="57" borderId="13" xfId="0" applyFont="1" applyFill="1" applyBorder="1"/>
    <xf numFmtId="3" fontId="4" fillId="26" borderId="13" xfId="0" applyNumberFormat="1" applyFont="1" applyFill="1" applyBorder="1"/>
    <xf numFmtId="0" fontId="2" fillId="0" borderId="24" xfId="355" applyBorder="1" applyAlignment="1" applyProtection="1">
      <alignment vertical="center" wrapText="1"/>
    </xf>
    <xf numFmtId="3" fontId="4" fillId="26" borderId="24" xfId="0" applyNumberFormat="1" applyFont="1" applyFill="1" applyBorder="1"/>
    <xf numFmtId="0" fontId="2" fillId="0" borderId="24" xfId="355" applyBorder="1" applyAlignment="1" applyProtection="1">
      <alignment horizontal="center" vertical="center"/>
    </xf>
    <xf numFmtId="170" fontId="2" fillId="0" borderId="35" xfId="79" applyNumberFormat="1" applyFont="1" applyBorder="1" applyAlignment="1" applyProtection="1">
      <alignment horizontal="center" vertical="center"/>
    </xf>
    <xf numFmtId="0" fontId="2" fillId="0" borderId="35" xfId="355" applyBorder="1" applyAlignment="1" applyProtection="1">
      <alignment horizontal="center" vertical="center" wrapText="1"/>
      <protection locked="0"/>
    </xf>
    <xf numFmtId="0" fontId="2" fillId="0" borderId="82" xfId="355" applyBorder="1" applyAlignment="1" applyProtection="1">
      <alignment horizontal="center" vertical="center"/>
      <protection locked="0"/>
    </xf>
    <xf numFmtId="0" fontId="2" fillId="0" borderId="79" xfId="355" applyBorder="1" applyAlignment="1" applyProtection="1">
      <alignment vertical="center"/>
      <protection locked="0"/>
    </xf>
    <xf numFmtId="0" fontId="2" fillId="0" borderId="82" xfId="355" applyBorder="1" applyAlignment="1" applyProtection="1">
      <alignment vertical="center"/>
      <protection locked="0"/>
    </xf>
    <xf numFmtId="0" fontId="2" fillId="0" borderId="35" xfId="355" applyBorder="1" applyAlignment="1" applyProtection="1">
      <alignment vertical="center"/>
      <protection locked="0"/>
    </xf>
    <xf numFmtId="170" fontId="2" fillId="0" borderId="83" xfId="79" applyNumberFormat="1" applyFont="1" applyBorder="1" applyAlignment="1" applyProtection="1">
      <alignment vertical="center"/>
    </xf>
    <xf numFmtId="0" fontId="2" fillId="0" borderId="83" xfId="355" applyBorder="1" applyAlignment="1" applyProtection="1">
      <alignment horizontal="center" vertical="center"/>
    </xf>
    <xf numFmtId="167" fontId="2" fillId="0" borderId="84" xfId="79" applyNumberFormat="1" applyFont="1" applyBorder="1" applyAlignment="1" applyProtection="1">
      <alignment horizontal="center" vertical="center"/>
    </xf>
    <xf numFmtId="0" fontId="2" fillId="0" borderId="84" xfId="355" applyBorder="1" applyAlignment="1" applyProtection="1">
      <alignment horizontal="center" vertical="center" wrapText="1"/>
      <protection locked="0"/>
    </xf>
    <xf numFmtId="0" fontId="2" fillId="0" borderId="85" xfId="355" applyBorder="1" applyAlignment="1" applyProtection="1">
      <alignment horizontal="center" vertical="center"/>
      <protection locked="0"/>
    </xf>
    <xf numFmtId="0" fontId="2" fillId="0" borderId="86" xfId="355" applyBorder="1" applyAlignment="1" applyProtection="1">
      <alignment vertical="center"/>
      <protection locked="0"/>
    </xf>
    <xf numFmtId="0" fontId="2" fillId="0" borderId="85" xfId="355" applyBorder="1" applyAlignment="1" applyProtection="1">
      <alignment vertical="center"/>
      <protection locked="0"/>
    </xf>
    <xf numFmtId="0" fontId="2" fillId="0" borderId="84" xfId="355" applyBorder="1" applyAlignment="1" applyProtection="1">
      <alignment vertical="center"/>
      <protection locked="0"/>
    </xf>
    <xf numFmtId="167" fontId="2" fillId="0" borderId="16" xfId="79" applyNumberFormat="1" applyFont="1" applyBorder="1" applyAlignment="1" applyProtection="1">
      <alignment horizontal="center" vertical="center"/>
    </xf>
    <xf numFmtId="170" fontId="2" fillId="0" borderId="87" xfId="79" applyNumberFormat="1" applyFont="1" applyBorder="1" applyAlignment="1" applyProtection="1">
      <alignment vertical="center"/>
    </xf>
    <xf numFmtId="0" fontId="2" fillId="0" borderId="87" xfId="355" applyBorder="1" applyAlignment="1" applyProtection="1">
      <alignment horizontal="center" vertical="center"/>
    </xf>
    <xf numFmtId="167" fontId="2" fillId="0" borderId="88" xfId="79" applyNumberFormat="1" applyFont="1" applyBorder="1" applyAlignment="1" applyProtection="1">
      <alignment horizontal="center" vertical="center"/>
    </xf>
    <xf numFmtId="0" fontId="2" fillId="0" borderId="88" xfId="355" applyBorder="1" applyAlignment="1" applyProtection="1">
      <alignment horizontal="center" vertical="center" wrapText="1"/>
      <protection locked="0"/>
    </xf>
    <xf numFmtId="0" fontId="2" fillId="0" borderId="89" xfId="355" applyBorder="1" applyAlignment="1" applyProtection="1">
      <alignment horizontal="center" vertical="center"/>
      <protection locked="0"/>
    </xf>
    <xf numFmtId="170" fontId="2" fillId="0" borderId="20" xfId="79" applyNumberFormat="1" applyFont="1" applyBorder="1" applyAlignment="1" applyProtection="1">
      <alignment vertical="center"/>
    </xf>
    <xf numFmtId="0" fontId="2" fillId="0" borderId="20" xfId="355" applyBorder="1" applyAlignment="1" applyProtection="1">
      <alignment horizontal="center" vertical="center"/>
    </xf>
    <xf numFmtId="167" fontId="2" fillId="0" borderId="39" xfId="79" applyNumberFormat="1" applyFont="1" applyBorder="1" applyAlignment="1" applyProtection="1">
      <alignment horizontal="center" vertical="center"/>
    </xf>
    <xf numFmtId="0" fontId="2" fillId="0" borderId="39" xfId="355" applyBorder="1" applyAlignment="1" applyProtection="1">
      <alignment horizontal="center" vertical="center" wrapText="1"/>
      <protection locked="0"/>
    </xf>
    <xf numFmtId="0" fontId="2" fillId="0" borderId="91" xfId="355" applyBorder="1" applyAlignment="1" applyProtection="1">
      <alignment horizontal="center" vertical="center"/>
      <protection locked="0"/>
    </xf>
    <xf numFmtId="0" fontId="2" fillId="0" borderId="93" xfId="355" applyBorder="1" applyAlignment="1" applyProtection="1">
      <alignment vertical="center"/>
      <protection locked="0"/>
    </xf>
    <xf numFmtId="0" fontId="2" fillId="0" borderId="87" xfId="355" applyBorder="1" applyAlignment="1" applyProtection="1">
      <alignment vertical="center"/>
    </xf>
    <xf numFmtId="193" fontId="2" fillId="0" borderId="87" xfId="355" applyNumberFormat="1" applyBorder="1" applyAlignment="1" applyProtection="1">
      <alignment horizontal="center" vertical="center"/>
    </xf>
    <xf numFmtId="0" fontId="2" fillId="57" borderId="87" xfId="0" applyFont="1" applyFill="1" applyBorder="1"/>
    <xf numFmtId="0" fontId="2" fillId="0" borderId="94" xfId="355" applyBorder="1" applyAlignment="1" applyProtection="1">
      <alignment horizontal="center" vertical="center"/>
      <protection locked="0"/>
    </xf>
    <xf numFmtId="0" fontId="2" fillId="0" borderId="20" xfId="355" applyBorder="1" applyAlignment="1" applyProtection="1">
      <alignment vertical="center"/>
    </xf>
    <xf numFmtId="193" fontId="2" fillId="0" borderId="20" xfId="355" applyNumberFormat="1" applyBorder="1" applyAlignment="1" applyProtection="1">
      <alignment horizontal="center" vertical="center"/>
    </xf>
    <xf numFmtId="0" fontId="2" fillId="57" borderId="20" xfId="0" applyFont="1" applyFill="1" applyBorder="1"/>
    <xf numFmtId="170" fontId="2" fillId="0" borderId="20" xfId="681" applyNumberFormat="1" applyFont="1" applyFill="1" applyBorder="1"/>
    <xf numFmtId="0" fontId="2" fillId="0" borderId="91" xfId="355" applyBorder="1" applyAlignment="1" applyProtection="1">
      <alignment vertical="center"/>
      <protection locked="0"/>
    </xf>
    <xf numFmtId="170" fontId="2" fillId="0" borderId="13" xfId="681" applyNumberFormat="1" applyFont="1" applyFill="1" applyBorder="1"/>
    <xf numFmtId="170" fontId="2" fillId="0" borderId="87" xfId="681" applyNumberFormat="1" applyFont="1" applyFill="1" applyBorder="1"/>
    <xf numFmtId="0" fontId="2" fillId="0" borderId="89" xfId="355" applyBorder="1" applyAlignment="1" applyProtection="1">
      <alignment vertical="center"/>
      <protection locked="0"/>
    </xf>
    <xf numFmtId="0" fontId="2" fillId="0" borderId="20" xfId="355" applyBorder="1" applyAlignment="1" applyProtection="1">
      <alignment vertical="center" wrapText="1"/>
    </xf>
    <xf numFmtId="0" fontId="2" fillId="0" borderId="87" xfId="355" applyBorder="1" applyAlignment="1" applyProtection="1">
      <alignment vertical="center" wrapText="1"/>
    </xf>
    <xf numFmtId="170" fontId="2" fillId="0" borderId="88" xfId="79" applyNumberFormat="1" applyFont="1" applyBorder="1" applyAlignment="1" applyProtection="1">
      <alignment horizontal="center" vertical="center"/>
    </xf>
    <xf numFmtId="0" fontId="2" fillId="26" borderId="20" xfId="427" applyFont="1" applyFill="1" applyBorder="1" applyAlignment="1">
      <alignment horizontal="left" vertical="center" wrapText="1"/>
    </xf>
    <xf numFmtId="168" fontId="2" fillId="26" borderId="20" xfId="81" applyNumberFormat="1" applyFont="1" applyFill="1" applyBorder="1" applyAlignment="1">
      <alignment horizontal="center" vertical="center" wrapText="1"/>
    </xf>
    <xf numFmtId="170" fontId="2" fillId="0" borderId="39" xfId="79" applyNumberFormat="1" applyFont="1" applyBorder="1" applyAlignment="1" applyProtection="1">
      <alignment horizontal="center" vertical="center"/>
    </xf>
    <xf numFmtId="0" fontId="2" fillId="0" borderId="81" xfId="355" applyBorder="1" applyAlignment="1" applyProtection="1">
      <alignment horizontal="center" vertical="center" wrapText="1"/>
      <protection locked="0"/>
    </xf>
    <xf numFmtId="0" fontId="2" fillId="0" borderId="81" xfId="355" applyBorder="1" applyAlignment="1" applyProtection="1">
      <alignment vertical="center" wrapText="1"/>
      <protection locked="0"/>
    </xf>
    <xf numFmtId="0" fontId="13" fillId="0" borderId="81" xfId="355" applyFont="1" applyBorder="1" applyAlignment="1" applyProtection="1">
      <alignment vertical="center" wrapText="1"/>
      <protection locked="0"/>
    </xf>
    <xf numFmtId="0" fontId="2" fillId="26" borderId="13" xfId="427" applyFont="1" applyFill="1" applyBorder="1" applyAlignment="1">
      <alignment horizontal="left" vertical="center" wrapText="1"/>
    </xf>
    <xf numFmtId="202" fontId="2" fillId="26" borderId="13" xfId="81" applyNumberFormat="1" applyFont="1" applyFill="1" applyBorder="1" applyAlignment="1">
      <alignment horizontal="center" vertical="center" wrapText="1"/>
    </xf>
    <xf numFmtId="202" fontId="4" fillId="26" borderId="13" xfId="81" applyNumberFormat="1" applyFont="1" applyFill="1" applyBorder="1" applyAlignment="1">
      <alignment horizontal="center" vertical="center" wrapText="1"/>
    </xf>
    <xf numFmtId="170" fontId="2" fillId="0" borderId="13" xfId="79" applyNumberFormat="1" applyFont="1" applyBorder="1" applyAlignment="1" applyProtection="1">
      <alignment horizontal="center" vertical="center"/>
    </xf>
    <xf numFmtId="193" fontId="2" fillId="0" borderId="24" xfId="355" applyNumberFormat="1" applyBorder="1" applyAlignment="1" applyProtection="1">
      <alignment horizontal="center" vertical="center"/>
    </xf>
    <xf numFmtId="0" fontId="2" fillId="0" borderId="24" xfId="355" applyBorder="1" applyAlignment="1" applyProtection="1">
      <alignment vertical="center"/>
    </xf>
    <xf numFmtId="170" fontId="2" fillId="0" borderId="24" xfId="79" applyNumberFormat="1" applyFont="1" applyBorder="1" applyAlignment="1" applyProtection="1">
      <alignment vertical="center"/>
    </xf>
    <xf numFmtId="0" fontId="2" fillId="0" borderId="97" xfId="355" applyBorder="1" applyAlignment="1" applyProtection="1">
      <alignment vertical="center"/>
      <protection locked="0"/>
    </xf>
    <xf numFmtId="0" fontId="2" fillId="0" borderId="83" xfId="355" applyBorder="1" applyAlignment="1" applyProtection="1">
      <alignment vertical="center"/>
    </xf>
    <xf numFmtId="193" fontId="2" fillId="0" borderId="83" xfId="355" applyNumberFormat="1" applyBorder="1" applyAlignment="1" applyProtection="1">
      <alignment horizontal="center" vertical="center"/>
    </xf>
    <xf numFmtId="170" fontId="2" fillId="0" borderId="84" xfId="79" applyNumberFormat="1" applyFont="1" applyBorder="1" applyAlignment="1" applyProtection="1">
      <alignment horizontal="center" vertical="center"/>
    </xf>
    <xf numFmtId="0" fontId="2" fillId="0" borderId="98" xfId="355" applyBorder="1" applyAlignment="1" applyProtection="1">
      <alignment vertical="justify"/>
      <protection locked="0"/>
    </xf>
    <xf numFmtId="3" fontId="2" fillId="0" borderId="87" xfId="236" applyNumberFormat="1" applyFont="1" applyFill="1" applyBorder="1" applyAlignment="1">
      <alignment horizontal="right"/>
    </xf>
    <xf numFmtId="0" fontId="2" fillId="0" borderId="98" xfId="355" applyBorder="1" applyAlignment="1" applyProtection="1">
      <alignment vertical="center"/>
      <protection locked="0"/>
    </xf>
    <xf numFmtId="0" fontId="2" fillId="0" borderId="81" xfId="355" applyBorder="1" applyAlignment="1" applyProtection="1">
      <alignment vertical="center"/>
      <protection locked="0"/>
    </xf>
    <xf numFmtId="0" fontId="2" fillId="0" borderId="39" xfId="355" applyBorder="1" applyAlignment="1" applyProtection="1">
      <alignment vertical="center"/>
      <protection locked="0"/>
    </xf>
    <xf numFmtId="0" fontId="2" fillId="0" borderId="25" xfId="355" applyBorder="1" applyAlignment="1" applyProtection="1">
      <alignment vertical="center"/>
      <protection locked="0"/>
    </xf>
    <xf numFmtId="0" fontId="2" fillId="0" borderId="0" xfId="355" applyAlignment="1" applyProtection="1">
      <alignment vertical="center" wrapText="1"/>
    </xf>
    <xf numFmtId="170" fontId="2" fillId="0" borderId="0" xfId="79" applyNumberFormat="1" applyFont="1" applyAlignment="1" applyProtection="1">
      <alignment vertical="center"/>
    </xf>
    <xf numFmtId="170" fontId="2" fillId="0" borderId="0" xfId="79" applyNumberFormat="1" applyFont="1" applyAlignment="1" applyProtection="1">
      <alignment horizontal="center" vertical="center"/>
      <protection locked="0"/>
    </xf>
    <xf numFmtId="0" fontId="6" fillId="31" borderId="24" xfId="355"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xf>
    <xf numFmtId="0" fontId="113" fillId="46" borderId="13" xfId="368" applyFont="1" applyFill="1" applyBorder="1" applyAlignment="1" applyProtection="1">
      <alignment horizontal="left" vertical="center" wrapText="1"/>
      <protection locked="0"/>
    </xf>
    <xf numFmtId="168" fontId="30" fillId="39" borderId="13" xfId="355" applyNumberFormat="1" applyFont="1" applyFill="1" applyBorder="1" applyAlignment="1" applyProtection="1">
      <alignment horizontal="right" vertical="center"/>
    </xf>
    <xf numFmtId="49" fontId="44" fillId="0" borderId="13" xfId="355" applyNumberFormat="1" applyFont="1" applyFill="1" applyBorder="1" applyAlignment="1" applyProtection="1">
      <alignment vertical="center" wrapText="1"/>
      <protection locked="0"/>
    </xf>
    <xf numFmtId="168" fontId="5" fillId="0" borderId="13" xfId="355" applyNumberFormat="1" applyFont="1" applyBorder="1" applyAlignment="1" applyProtection="1">
      <alignment horizontal="right" vertical="center"/>
    </xf>
    <xf numFmtId="49" fontId="41" fillId="0" borderId="13" xfId="355" applyNumberFormat="1" applyFont="1" applyFill="1" applyBorder="1" applyAlignment="1" applyProtection="1">
      <alignment horizontal="left" vertical="center" wrapText="1" indent="1"/>
      <protection locked="0"/>
    </xf>
    <xf numFmtId="168" fontId="2" fillId="0" borderId="13" xfId="355" applyNumberFormat="1" applyFont="1" applyBorder="1" applyAlignment="1" applyProtection="1">
      <alignment horizontal="right" vertical="center"/>
    </xf>
    <xf numFmtId="49" fontId="32" fillId="0" borderId="13" xfId="355" applyNumberFormat="1" applyFont="1" applyFill="1" applyBorder="1" applyAlignment="1" applyProtection="1">
      <alignment horizontal="left" vertical="top" wrapText="1"/>
      <protection locked="0"/>
    </xf>
    <xf numFmtId="49" fontId="41" fillId="26" borderId="13" xfId="355" applyNumberFormat="1" applyFont="1" applyFill="1" applyBorder="1" applyAlignment="1" applyProtection="1">
      <alignment horizontal="left" vertical="center" wrapText="1" indent="1"/>
      <protection locked="0"/>
    </xf>
    <xf numFmtId="49" fontId="32" fillId="0" borderId="13" xfId="355" applyNumberFormat="1" applyFont="1" applyFill="1" applyBorder="1" applyAlignment="1" applyProtection="1">
      <alignment horizontal="left" vertical="center" wrapText="1"/>
      <protection locked="0"/>
    </xf>
    <xf numFmtId="49" fontId="44" fillId="0" borderId="13" xfId="355" applyNumberFormat="1" applyFont="1" applyFill="1" applyBorder="1" applyAlignment="1" applyProtection="1">
      <alignment horizontal="left" vertical="center" wrapText="1"/>
      <protection locked="0"/>
    </xf>
    <xf numFmtId="49" fontId="41" fillId="26" borderId="13" xfId="355" applyNumberFormat="1" applyFont="1" applyFill="1" applyBorder="1" applyAlignment="1" applyProtection="1">
      <alignment horizontal="left" vertical="center" wrapText="1"/>
      <protection locked="0"/>
    </xf>
    <xf numFmtId="49" fontId="40" fillId="0" borderId="13" xfId="355" applyNumberFormat="1" applyFont="1" applyFill="1" applyBorder="1" applyAlignment="1" applyProtection="1">
      <alignment horizontal="left" vertical="center" wrapText="1" indent="1"/>
      <protection locked="0"/>
    </xf>
    <xf numFmtId="49" fontId="40" fillId="26" borderId="13" xfId="355" applyNumberFormat="1" applyFont="1" applyFill="1" applyBorder="1" applyAlignment="1" applyProtection="1">
      <alignment horizontal="left" vertical="center" wrapText="1" indent="1"/>
      <protection locked="0"/>
    </xf>
    <xf numFmtId="0" fontId="41" fillId="0" borderId="13" xfId="355" applyNumberFormat="1" applyFont="1" applyFill="1" applyBorder="1" applyAlignment="1" applyProtection="1">
      <alignment horizontal="left" vertical="center" wrapText="1" indent="1"/>
      <protection locked="0"/>
    </xf>
    <xf numFmtId="49" fontId="39" fillId="0" borderId="13" xfId="355" applyNumberFormat="1" applyFont="1" applyFill="1" applyBorder="1" applyAlignment="1" applyProtection="1">
      <alignment vertical="center" wrapText="1"/>
      <protection locked="0"/>
    </xf>
    <xf numFmtId="0" fontId="41" fillId="26" borderId="13" xfId="355" applyNumberFormat="1" applyFont="1" applyFill="1" applyBorder="1" applyAlignment="1" applyProtection="1">
      <alignment horizontal="left" vertical="center" wrapText="1"/>
      <protection locked="0"/>
    </xf>
    <xf numFmtId="168" fontId="5" fillId="0" borderId="13" xfId="355" applyNumberFormat="1" applyFont="1" applyFill="1" applyBorder="1" applyAlignment="1" applyProtection="1">
      <alignment horizontal="right" vertical="center"/>
    </xf>
    <xf numFmtId="0" fontId="2" fillId="0" borderId="31" xfId="355" applyBorder="1" applyAlignment="1" applyProtection="1">
      <alignment vertical="center" wrapText="1"/>
      <protection locked="0"/>
    </xf>
    <xf numFmtId="173" fontId="41" fillId="0" borderId="100" xfId="355" applyNumberFormat="1" applyFont="1" applyFill="1" applyBorder="1" applyAlignment="1">
      <alignment horizontal="right" vertical="center"/>
    </xf>
    <xf numFmtId="173" fontId="41" fillId="0" borderId="28" xfId="0" applyNumberFormat="1" applyFont="1" applyFill="1" applyBorder="1" applyAlignment="1">
      <alignment horizontal="right"/>
    </xf>
    <xf numFmtId="173" fontId="41" fillId="0" borderId="20" xfId="355" applyNumberFormat="1" applyFont="1" applyFill="1" applyBorder="1" applyAlignment="1">
      <alignment horizontal="right" vertical="center"/>
    </xf>
    <xf numFmtId="173" fontId="41" fillId="0" borderId="0" xfId="0" applyNumberFormat="1" applyFont="1" applyFill="1" applyBorder="1" applyAlignment="1">
      <alignment horizontal="right"/>
    </xf>
    <xf numFmtId="173" fontId="128" fillId="0" borderId="16" xfId="355" applyNumberFormat="1" applyFont="1" applyFill="1" applyBorder="1" applyAlignment="1">
      <alignment horizontal="right" vertical="center"/>
    </xf>
    <xf numFmtId="173" fontId="41" fillId="0" borderId="16" xfId="355" applyNumberFormat="1" applyFont="1" applyFill="1" applyBorder="1" applyAlignment="1">
      <alignment horizontal="right" vertical="center"/>
    </xf>
    <xf numFmtId="17" fontId="2" fillId="33" borderId="13" xfId="355" applyNumberFormat="1" applyFill="1" applyBorder="1" applyAlignment="1" applyProtection="1">
      <alignment vertical="center"/>
    </xf>
    <xf numFmtId="49" fontId="41" fillId="0" borderId="0" xfId="355" applyNumberFormat="1" applyFont="1" applyFill="1" applyBorder="1" applyAlignment="1" applyProtection="1">
      <alignment horizontal="left" vertical="center" wrapText="1"/>
    </xf>
    <xf numFmtId="0" fontId="2" fillId="0" borderId="0" xfId="355" applyBorder="1" applyAlignment="1" applyProtection="1">
      <alignment horizontal="center" vertical="center"/>
    </xf>
    <xf numFmtId="0" fontId="2" fillId="0" borderId="0" xfId="355" applyBorder="1" applyAlignment="1" applyProtection="1">
      <alignment vertical="center"/>
    </xf>
    <xf numFmtId="168" fontId="2" fillId="0" borderId="0" xfId="355" applyNumberFormat="1" applyBorder="1" applyAlignment="1" applyProtection="1">
      <alignment vertical="center"/>
    </xf>
    <xf numFmtId="17" fontId="2" fillId="0" borderId="0" xfId="355" applyNumberFormat="1" applyBorder="1" applyAlignment="1" applyProtection="1">
      <alignment vertical="center"/>
    </xf>
    <xf numFmtId="0" fontId="123" fillId="0" borderId="74" xfId="0" applyFont="1" applyFill="1" applyBorder="1" applyAlignment="1">
      <alignment vertical="center" wrapText="1"/>
    </xf>
    <xf numFmtId="9" fontId="0" fillId="0" borderId="0" xfId="437" applyFont="1"/>
    <xf numFmtId="9" fontId="2" fillId="0" borderId="0" xfId="437" applyFont="1" applyAlignment="1" applyProtection="1">
      <alignment vertical="center"/>
      <protection locked="0"/>
    </xf>
    <xf numFmtId="16" fontId="2" fillId="0" borderId="0" xfId="355" applyNumberFormat="1" applyAlignment="1" applyProtection="1">
      <alignment vertical="center"/>
      <protection locked="0"/>
    </xf>
    <xf numFmtId="9" fontId="2" fillId="0" borderId="0" xfId="437" applyFont="1" applyAlignment="1" applyProtection="1">
      <alignment vertical="center"/>
    </xf>
    <xf numFmtId="0" fontId="6" fillId="32" borderId="24" xfId="355" applyFont="1" applyFill="1" applyBorder="1" applyAlignment="1" applyProtection="1">
      <alignment horizontal="center" vertical="center" wrapText="1"/>
      <protection locked="0"/>
    </xf>
    <xf numFmtId="0" fontId="6" fillId="34" borderId="24" xfId="355" applyFont="1" applyFill="1" applyBorder="1" applyAlignment="1" applyProtection="1">
      <alignment horizontal="center" vertical="center"/>
      <protection locked="0"/>
    </xf>
    <xf numFmtId="0" fontId="69" fillId="34" borderId="34" xfId="355" applyFont="1" applyFill="1" applyBorder="1" applyAlignment="1" applyProtection="1">
      <alignment horizontal="center" vertical="center"/>
      <protection locked="0"/>
    </xf>
    <xf numFmtId="0" fontId="69" fillId="26" borderId="13" xfId="0" applyFont="1" applyFill="1" applyBorder="1" applyAlignment="1">
      <alignment horizontal="center" vertical="center"/>
    </xf>
    <xf numFmtId="170" fontId="70" fillId="59" borderId="13" xfId="79" applyNumberFormat="1" applyFont="1" applyFill="1" applyBorder="1" applyAlignment="1">
      <alignment horizontal="center" vertical="center" wrapText="1"/>
    </xf>
    <xf numFmtId="170" fontId="70" fillId="59" borderId="13" xfId="79" applyNumberFormat="1" applyFont="1" applyFill="1" applyBorder="1" applyAlignment="1">
      <alignment horizontal="center" vertical="center"/>
    </xf>
    <xf numFmtId="171" fontId="70" fillId="26" borderId="13" xfId="212" applyNumberFormat="1" applyFont="1" applyFill="1" applyBorder="1" applyAlignment="1">
      <alignment horizontal="center" vertical="center"/>
    </xf>
    <xf numFmtId="0" fontId="85" fillId="26" borderId="13" xfId="0" applyFont="1" applyFill="1" applyBorder="1" applyAlignment="1">
      <alignment horizontal="center" vertical="center"/>
    </xf>
    <xf numFmtId="0" fontId="69" fillId="0" borderId="13" xfId="0" applyFont="1" applyBorder="1"/>
    <xf numFmtId="0" fontId="129" fillId="0" borderId="13" xfId="0" applyFont="1" applyBorder="1" applyAlignment="1">
      <alignment horizontal="justify" vertical="center"/>
    </xf>
    <xf numFmtId="1" fontId="70" fillId="26" borderId="13" xfId="0" applyNumberFormat="1" applyFont="1" applyFill="1" applyBorder="1" applyAlignment="1">
      <alignment horizontal="center" vertical="center"/>
    </xf>
    <xf numFmtId="0" fontId="70" fillId="0" borderId="13" xfId="0" applyFont="1" applyFill="1" applyBorder="1" applyAlignment="1">
      <alignment vertical="center" wrapText="1"/>
    </xf>
    <xf numFmtId="170" fontId="69" fillId="0" borderId="13" xfId="79" applyNumberFormat="1" applyFont="1" applyFill="1" applyBorder="1" applyAlignment="1">
      <alignment horizontal="center" vertical="center" wrapText="1"/>
    </xf>
    <xf numFmtId="170" fontId="69" fillId="0" borderId="13" xfId="79" applyNumberFormat="1" applyFont="1" applyFill="1" applyBorder="1" applyAlignment="1">
      <alignment horizontal="center" vertical="center"/>
    </xf>
    <xf numFmtId="171" fontId="3" fillId="26" borderId="13" xfId="212" applyNumberFormat="1" applyFont="1" applyFill="1" applyBorder="1" applyAlignment="1">
      <alignment horizontal="center" vertical="center"/>
    </xf>
    <xf numFmtId="0" fontId="70" fillId="59" borderId="13" xfId="0" applyFont="1" applyFill="1" applyBorder="1" applyAlignment="1">
      <alignment vertical="center" wrapText="1"/>
    </xf>
    <xf numFmtId="0" fontId="70" fillId="59" borderId="13" xfId="0" applyFont="1" applyFill="1" applyBorder="1" applyAlignment="1">
      <alignment horizontal="center" vertical="center" wrapText="1"/>
    </xf>
    <xf numFmtId="14" fontId="72" fillId="26" borderId="13" xfId="0" applyNumberFormat="1" applyFont="1" applyFill="1" applyBorder="1" applyAlignment="1">
      <alignment horizontal="center" vertical="center"/>
    </xf>
    <xf numFmtId="0" fontId="69" fillId="0" borderId="13" xfId="0" applyFont="1" applyBorder="1" applyAlignment="1">
      <alignment horizontal="center" vertical="center" wrapText="1"/>
    </xf>
    <xf numFmtId="0" fontId="69" fillId="0" borderId="13" xfId="0" applyFont="1" applyBorder="1" applyAlignment="1">
      <alignment horizontal="center"/>
    </xf>
    <xf numFmtId="173" fontId="69" fillId="0" borderId="13" xfId="0" applyNumberFormat="1" applyFont="1" applyBorder="1"/>
    <xf numFmtId="170" fontId="3" fillId="0" borderId="13" xfId="79" applyNumberFormat="1" applyFont="1" applyFill="1" applyBorder="1" applyAlignment="1">
      <alignment horizontal="center" vertical="center" wrapText="1"/>
    </xf>
    <xf numFmtId="2" fontId="3" fillId="0" borderId="13" xfId="79" applyNumberFormat="1" applyFont="1" applyFill="1" applyBorder="1" applyAlignment="1">
      <alignment horizontal="center" vertical="center" wrapText="1"/>
    </xf>
    <xf numFmtId="1" fontId="6" fillId="26" borderId="13" xfId="0" applyNumberFormat="1" applyFont="1" applyFill="1" applyBorder="1" applyAlignment="1">
      <alignment horizontal="center" vertical="center"/>
    </xf>
    <xf numFmtId="170" fontId="70" fillId="59" borderId="13" xfId="79" applyNumberFormat="1" applyFont="1" applyFill="1" applyBorder="1" applyAlignment="1">
      <alignment vertical="center" wrapText="1"/>
    </xf>
    <xf numFmtId="171" fontId="69" fillId="26" borderId="13" xfId="212" applyNumberFormat="1" applyFont="1" applyFill="1" applyBorder="1" applyAlignment="1">
      <alignment horizontal="center" vertical="center"/>
    </xf>
    <xf numFmtId="0" fontId="69" fillId="0" borderId="13" xfId="0" applyFont="1" applyFill="1" applyBorder="1" applyAlignment="1">
      <alignment horizontal="center" vertical="center" wrapText="1"/>
    </xf>
    <xf numFmtId="0" fontId="69" fillId="0" borderId="13" xfId="0" applyFont="1" applyBorder="1" applyAlignment="1">
      <alignment horizontal="center" wrapText="1"/>
    </xf>
    <xf numFmtId="0" fontId="69" fillId="0" borderId="13" xfId="0" applyFont="1" applyFill="1" applyBorder="1"/>
    <xf numFmtId="171" fontId="69" fillId="0" borderId="13" xfId="212" applyNumberFormat="1" applyFont="1" applyFill="1" applyBorder="1" applyAlignment="1">
      <alignment horizontal="center" vertical="center"/>
    </xf>
    <xf numFmtId="14" fontId="72" fillId="0" borderId="13" xfId="0" applyNumberFormat="1" applyFont="1" applyFill="1" applyBorder="1" applyAlignment="1">
      <alignment horizontal="center" vertical="center"/>
    </xf>
    <xf numFmtId="170" fontId="3" fillId="26" borderId="13" xfId="79" applyNumberFormat="1" applyFont="1" applyFill="1" applyBorder="1" applyAlignment="1">
      <alignment horizontal="center" vertical="center" wrapText="1"/>
    </xf>
    <xf numFmtId="170" fontId="3" fillId="0" borderId="13" xfId="79" applyNumberFormat="1" applyFont="1" applyFill="1" applyBorder="1" applyAlignment="1">
      <alignment horizontal="center" vertical="center"/>
    </xf>
    <xf numFmtId="170" fontId="69" fillId="36" borderId="13" xfId="79" applyNumberFormat="1" applyFont="1" applyFill="1" applyBorder="1" applyAlignment="1">
      <alignment horizontal="center" vertical="center" wrapText="1"/>
    </xf>
    <xf numFmtId="0" fontId="69" fillId="36" borderId="13" xfId="0" applyFont="1" applyFill="1" applyBorder="1" applyAlignment="1">
      <alignment horizontal="center" vertical="center" wrapText="1"/>
    </xf>
    <xf numFmtId="0" fontId="69" fillId="36" borderId="13" xfId="0" applyFont="1" applyFill="1" applyBorder="1"/>
    <xf numFmtId="171" fontId="69" fillId="36" borderId="13" xfId="212" applyNumberFormat="1" applyFont="1" applyFill="1" applyBorder="1" applyAlignment="1">
      <alignment horizontal="center" vertical="center"/>
    </xf>
    <xf numFmtId="14" fontId="72" fillId="36" borderId="13" xfId="0" applyNumberFormat="1" applyFont="1" applyFill="1" applyBorder="1" applyAlignment="1">
      <alignment horizontal="center" vertical="center"/>
    </xf>
    <xf numFmtId="0" fontId="69" fillId="36" borderId="13" xfId="0" applyFont="1" applyFill="1" applyBorder="1" applyAlignment="1">
      <alignment horizontal="center" vertical="center"/>
    </xf>
    <xf numFmtId="203" fontId="3" fillId="0" borderId="13" xfId="79" applyNumberFormat="1" applyFont="1" applyFill="1" applyBorder="1" applyAlignment="1">
      <alignment horizontal="center" vertical="center" wrapText="1"/>
    </xf>
    <xf numFmtId="0" fontId="72" fillId="0" borderId="13" xfId="0" applyFont="1" applyFill="1" applyBorder="1" applyAlignment="1">
      <alignment horizontal="center" vertical="center"/>
    </xf>
    <xf numFmtId="0" fontId="69" fillId="0" borderId="13" xfId="0" applyFont="1" applyFill="1" applyBorder="1" applyAlignment="1">
      <alignment wrapText="1"/>
    </xf>
    <xf numFmtId="203" fontId="69" fillId="0" borderId="13" xfId="79" applyNumberFormat="1" applyFont="1" applyFill="1" applyBorder="1" applyAlignment="1">
      <alignment horizontal="center" vertical="center" wrapText="1"/>
    </xf>
    <xf numFmtId="203" fontId="72" fillId="0" borderId="13" xfId="0" applyNumberFormat="1" applyFont="1" applyFill="1" applyBorder="1" applyAlignment="1">
      <alignment horizontal="center" vertical="center"/>
    </xf>
    <xf numFmtId="203" fontId="72" fillId="0" borderId="13" xfId="0" applyNumberFormat="1" applyFont="1" applyBorder="1" applyAlignment="1">
      <alignment horizontal="center" vertical="center"/>
    </xf>
    <xf numFmtId="0" fontId="3" fillId="0" borderId="13" xfId="0" applyFont="1" applyFill="1" applyBorder="1" applyAlignment="1">
      <alignment horizontal="center" vertical="center" wrapText="1"/>
    </xf>
    <xf numFmtId="203" fontId="72" fillId="26" borderId="13" xfId="0" applyNumberFormat="1" applyFont="1" applyFill="1" applyBorder="1" applyAlignment="1">
      <alignment horizontal="center" vertical="center"/>
    </xf>
    <xf numFmtId="0" fontId="70" fillId="26" borderId="13" xfId="0" applyFont="1" applyFill="1" applyBorder="1" applyAlignment="1">
      <alignment horizontal="center" vertical="center"/>
    </xf>
    <xf numFmtId="170" fontId="70" fillId="60" borderId="13" xfId="79" applyNumberFormat="1" applyFont="1" applyFill="1" applyBorder="1" applyAlignment="1">
      <alignment horizontal="center" vertical="center" wrapText="1"/>
    </xf>
    <xf numFmtId="0" fontId="69" fillId="26" borderId="13" xfId="0" applyFont="1" applyFill="1" applyBorder="1" applyAlignment="1">
      <alignment horizontal="center" vertical="center" wrapText="1"/>
    </xf>
    <xf numFmtId="170" fontId="72" fillId="26" borderId="13" xfId="79" applyNumberFormat="1" applyFont="1" applyFill="1" applyBorder="1" applyAlignment="1">
      <alignment horizontal="center" vertical="center"/>
    </xf>
    <xf numFmtId="170" fontId="72" fillId="26" borderId="13" xfId="0" applyNumberFormat="1" applyFont="1" applyFill="1" applyBorder="1" applyAlignment="1">
      <alignment horizontal="center" vertical="center"/>
    </xf>
    <xf numFmtId="170" fontId="72" fillId="0" borderId="13" xfId="79" applyNumberFormat="1" applyFont="1" applyFill="1" applyBorder="1" applyAlignment="1">
      <alignment horizontal="center" vertical="center"/>
    </xf>
    <xf numFmtId="170" fontId="69" fillId="26" borderId="13" xfId="79" applyNumberFormat="1" applyFont="1" applyFill="1" applyBorder="1" applyAlignment="1">
      <alignment horizontal="center" vertical="center" wrapText="1"/>
    </xf>
    <xf numFmtId="170" fontId="69" fillId="0" borderId="13" xfId="79" applyNumberFormat="1" applyFont="1" applyBorder="1" applyAlignment="1">
      <alignment horizontal="center" vertical="center" wrapText="1"/>
    </xf>
    <xf numFmtId="170" fontId="69" fillId="0" borderId="13" xfId="79" applyNumberFormat="1" applyFont="1" applyBorder="1" applyAlignment="1">
      <alignment horizontal="center" vertical="center"/>
    </xf>
    <xf numFmtId="0" fontId="69" fillId="0" borderId="13" xfId="0" applyFont="1" applyFill="1" applyBorder="1" applyAlignment="1">
      <alignment vertical="center" wrapText="1"/>
    </xf>
    <xf numFmtId="170" fontId="70" fillId="0" borderId="13" xfId="79" applyNumberFormat="1" applyFont="1" applyBorder="1" applyAlignment="1">
      <alignment horizontal="center" vertical="center" wrapText="1"/>
    </xf>
    <xf numFmtId="170" fontId="70" fillId="0" borderId="13" xfId="79" applyNumberFormat="1" applyFont="1" applyBorder="1" applyAlignment="1">
      <alignment horizontal="center" vertical="center"/>
    </xf>
    <xf numFmtId="0" fontId="130" fillId="26" borderId="13" xfId="0" applyFont="1" applyFill="1" applyBorder="1" applyAlignment="1">
      <alignment horizontal="center" vertical="center"/>
    </xf>
    <xf numFmtId="0" fontId="6" fillId="32" borderId="13" xfId="355" applyFont="1" applyFill="1" applyBorder="1" applyAlignment="1" applyProtection="1">
      <alignment horizontal="center" vertical="center" wrapText="1"/>
      <protection locked="0"/>
    </xf>
    <xf numFmtId="0" fontId="69" fillId="34" borderId="13" xfId="355" applyFont="1" applyFill="1" applyBorder="1" applyAlignment="1" applyProtection="1">
      <alignment horizontal="center" vertical="center"/>
      <protection locked="0"/>
    </xf>
    <xf numFmtId="1" fontId="70" fillId="59" borderId="13" xfId="0" applyNumberFormat="1" applyFont="1" applyFill="1" applyBorder="1" applyAlignment="1">
      <alignment horizontal="center" vertical="center"/>
    </xf>
    <xf numFmtId="0" fontId="3" fillId="26" borderId="13" xfId="0" applyFont="1" applyFill="1" applyBorder="1" applyAlignment="1">
      <alignment horizontal="center"/>
    </xf>
    <xf numFmtId="1" fontId="69" fillId="0" borderId="13" xfId="0" applyNumberFormat="1" applyFont="1" applyBorder="1" applyAlignment="1">
      <alignment horizontal="center" vertical="center"/>
    </xf>
    <xf numFmtId="1" fontId="3" fillId="26" borderId="13" xfId="0" applyNumberFormat="1" applyFont="1" applyFill="1" applyBorder="1" applyAlignment="1">
      <alignment horizontal="center" vertical="center"/>
    </xf>
    <xf numFmtId="1" fontId="6" fillId="59" borderId="13" xfId="0" applyNumberFormat="1" applyFont="1" applyFill="1" applyBorder="1" applyAlignment="1">
      <alignment horizontal="center" vertical="center"/>
    </xf>
    <xf numFmtId="0" fontId="6" fillId="59" borderId="13" xfId="0" applyFont="1" applyFill="1" applyBorder="1" applyAlignment="1">
      <alignment horizontal="center" vertical="center" wrapText="1"/>
    </xf>
    <xf numFmtId="1" fontId="69" fillId="26" borderId="13" xfId="0" applyNumberFormat="1" applyFont="1" applyFill="1" applyBorder="1" applyAlignment="1">
      <alignment horizontal="center" vertical="center"/>
    </xf>
    <xf numFmtId="173" fontId="69" fillId="0" borderId="13" xfId="0" applyNumberFormat="1" applyFont="1" applyBorder="1" applyAlignment="1">
      <alignment horizontal="center"/>
    </xf>
    <xf numFmtId="0" fontId="3" fillId="0" borderId="13" xfId="0" applyFont="1" applyBorder="1" applyAlignment="1">
      <alignment horizontal="center"/>
    </xf>
    <xf numFmtId="0" fontId="69" fillId="0" borderId="13" xfId="0" applyFont="1" applyFill="1" applyBorder="1" applyAlignment="1">
      <alignment vertical="top" wrapText="1"/>
    </xf>
    <xf numFmtId="204" fontId="131" fillId="0" borderId="13" xfId="213" applyNumberFormat="1" applyFont="1" applyFill="1" applyBorder="1"/>
    <xf numFmtId="0" fontId="111" fillId="0" borderId="13" xfId="0" applyFont="1" applyBorder="1"/>
    <xf numFmtId="1" fontId="70" fillId="0" borderId="13" xfId="0" applyNumberFormat="1" applyFont="1" applyBorder="1" applyAlignment="1">
      <alignment horizontal="center" vertical="center"/>
    </xf>
    <xf numFmtId="0" fontId="70" fillId="0" borderId="13" xfId="0" applyFont="1" applyBorder="1" applyAlignment="1">
      <alignment horizontal="center" vertical="center" wrapText="1"/>
    </xf>
    <xf numFmtId="166" fontId="70" fillId="26" borderId="13" xfId="212" applyFont="1" applyFill="1" applyBorder="1" applyAlignment="1">
      <alignment horizontal="center" vertical="center"/>
    </xf>
    <xf numFmtId="166" fontId="3" fillId="26" borderId="13" xfId="212" applyFont="1" applyFill="1" applyBorder="1" applyAlignment="1">
      <alignment horizontal="center" vertical="center"/>
    </xf>
    <xf numFmtId="170" fontId="70" fillId="26" borderId="13" xfId="79" applyNumberFormat="1" applyFont="1" applyFill="1" applyBorder="1" applyAlignment="1">
      <alignment horizontal="center" vertical="center"/>
    </xf>
    <xf numFmtId="0" fontId="69" fillId="26" borderId="13" xfId="0" applyFont="1" applyFill="1" applyBorder="1" applyAlignment="1">
      <alignment vertical="center" wrapText="1"/>
    </xf>
    <xf numFmtId="174" fontId="3" fillId="26" borderId="13" xfId="416" applyFont="1" applyFill="1" applyBorder="1" applyAlignment="1">
      <alignment horizontal="left" vertical="center" wrapText="1"/>
    </xf>
    <xf numFmtId="170" fontId="69" fillId="26" borderId="13" xfId="79" applyNumberFormat="1" applyFont="1" applyFill="1" applyBorder="1" applyAlignment="1">
      <alignment horizontal="center" vertical="center"/>
    </xf>
    <xf numFmtId="0" fontId="69" fillId="26" borderId="13" xfId="348" applyFont="1" applyFill="1" applyBorder="1" applyAlignment="1">
      <alignment wrapText="1"/>
    </xf>
    <xf numFmtId="171" fontId="70" fillId="59" borderId="13" xfId="212" applyNumberFormat="1" applyFont="1" applyFill="1" applyBorder="1" applyAlignment="1">
      <alignment horizontal="center" vertical="center"/>
    </xf>
    <xf numFmtId="0" fontId="3" fillId="26" borderId="13" xfId="348" applyFont="1" applyFill="1" applyBorder="1" applyAlignment="1">
      <alignment horizontal="left" vertical="center" wrapText="1"/>
    </xf>
    <xf numFmtId="171" fontId="3" fillId="0" borderId="13" xfId="212" applyNumberFormat="1" applyFont="1" applyFill="1" applyBorder="1" applyAlignment="1">
      <alignment horizontal="center" vertical="center"/>
    </xf>
    <xf numFmtId="0" fontId="69" fillId="26" borderId="13" xfId="348" applyFont="1" applyFill="1" applyBorder="1" applyAlignment="1">
      <alignment horizontal="center" vertical="center" wrapText="1"/>
    </xf>
    <xf numFmtId="0" fontId="69" fillId="26" borderId="13" xfId="348" applyFont="1" applyFill="1" applyBorder="1" applyAlignment="1">
      <alignment vertical="center" wrapText="1"/>
    </xf>
    <xf numFmtId="0" fontId="3" fillId="26" borderId="13" xfId="348" applyFont="1" applyFill="1" applyBorder="1" applyAlignment="1">
      <alignment horizontal="justify" vertical="center"/>
    </xf>
    <xf numFmtId="0" fontId="69" fillId="26" borderId="13" xfId="348" applyFont="1" applyFill="1" applyBorder="1" applyAlignment="1">
      <alignment horizontal="left" vertical="center" wrapText="1"/>
    </xf>
    <xf numFmtId="1" fontId="70" fillId="0" borderId="13" xfId="0" applyNumberFormat="1" applyFont="1" applyBorder="1" applyAlignment="1">
      <alignment vertical="center"/>
    </xf>
    <xf numFmtId="171" fontId="70" fillId="0" borderId="13" xfId="79" applyNumberFormat="1" applyFont="1" applyBorder="1" applyAlignment="1">
      <alignment horizontal="center" vertical="center"/>
    </xf>
    <xf numFmtId="0" fontId="37" fillId="26" borderId="13" xfId="682" applyFont="1" applyFill="1" applyBorder="1" applyAlignment="1">
      <alignment horizontal="justify" vertical="center" wrapText="1"/>
    </xf>
    <xf numFmtId="1" fontId="69" fillId="0" borderId="13" xfId="0" applyNumberFormat="1" applyFont="1" applyFill="1" applyBorder="1" applyAlignment="1">
      <alignment horizontal="center" vertical="center"/>
    </xf>
    <xf numFmtId="171" fontId="69" fillId="0" borderId="13" xfId="212" applyNumberFormat="1" applyFont="1" applyBorder="1" applyAlignment="1">
      <alignment horizontal="center"/>
    </xf>
    <xf numFmtId="171" fontId="70" fillId="0" borderId="13" xfId="212" applyNumberFormat="1" applyFont="1" applyBorder="1" applyAlignment="1">
      <alignment horizontal="center" vertical="center"/>
    </xf>
    <xf numFmtId="0" fontId="131" fillId="0" borderId="13" xfId="0" applyFont="1" applyFill="1" applyBorder="1"/>
    <xf numFmtId="14" fontId="3" fillId="0" borderId="13" xfId="0" applyNumberFormat="1" applyFont="1" applyFill="1" applyBorder="1" applyAlignment="1">
      <alignment horizontal="justify" vertical="center" wrapText="1"/>
    </xf>
    <xf numFmtId="171" fontId="69" fillId="0" borderId="13" xfId="212" applyNumberFormat="1" applyFont="1" applyFill="1" applyBorder="1"/>
    <xf numFmtId="0" fontId="3" fillId="0" borderId="13" xfId="0" applyFont="1" applyFill="1" applyBorder="1" applyAlignment="1">
      <alignment horizontal="center"/>
    </xf>
    <xf numFmtId="14" fontId="131" fillId="0" borderId="13" xfId="0" applyNumberFormat="1" applyFont="1" applyFill="1" applyBorder="1"/>
    <xf numFmtId="3" fontId="3" fillId="0" borderId="13"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171" fontId="69" fillId="0" borderId="13" xfId="212" applyNumberFormat="1" applyFont="1" applyBorder="1"/>
    <xf numFmtId="204" fontId="3" fillId="0" borderId="13" xfId="213" applyNumberFormat="1" applyFont="1" applyFill="1" applyBorder="1"/>
    <xf numFmtId="1" fontId="131" fillId="0" borderId="13" xfId="0" applyNumberFormat="1" applyFont="1" applyFill="1" applyBorder="1"/>
    <xf numFmtId="9" fontId="0" fillId="0" borderId="0" xfId="437" applyFont="1" applyAlignment="1">
      <alignment vertical="center"/>
    </xf>
    <xf numFmtId="0" fontId="55" fillId="38" borderId="13" xfId="0" applyFont="1" applyFill="1" applyBorder="1" applyAlignment="1">
      <alignment horizontal="right"/>
    </xf>
    <xf numFmtId="205" fontId="0" fillId="0" borderId="0" xfId="0" applyNumberFormat="1" applyAlignment="1">
      <alignment horizontal="right" vertical="center"/>
    </xf>
    <xf numFmtId="0" fontId="3" fillId="0" borderId="13" xfId="0" applyFont="1" applyFill="1" applyBorder="1" applyAlignment="1">
      <alignment horizontal="center" vertical="center" wrapText="1"/>
    </xf>
    <xf numFmtId="4" fontId="6" fillId="63" borderId="106" xfId="0" applyNumberFormat="1" applyFont="1" applyFill="1" applyBorder="1" applyAlignment="1" applyProtection="1">
      <alignment horizontal="center" vertical="center" wrapText="1"/>
    </xf>
    <xf numFmtId="0" fontId="6" fillId="63" borderId="106" xfId="0" applyFont="1" applyFill="1" applyBorder="1" applyAlignment="1" applyProtection="1">
      <alignment horizontal="center" vertical="center" wrapText="1"/>
    </xf>
    <xf numFmtId="0" fontId="132" fillId="31" borderId="24" xfId="355" applyFont="1" applyFill="1" applyBorder="1" applyAlignment="1" applyProtection="1">
      <alignment horizontal="center" vertical="center" wrapText="1"/>
    </xf>
    <xf numFmtId="4" fontId="6" fillId="63" borderId="36" xfId="0" applyNumberFormat="1" applyFont="1" applyFill="1" applyBorder="1" applyAlignment="1" applyProtection="1">
      <alignment horizontal="center" vertical="center" wrapText="1"/>
    </xf>
    <xf numFmtId="0" fontId="6" fillId="63" borderId="36" xfId="0" applyFont="1" applyFill="1" applyBorder="1" applyAlignment="1" applyProtection="1">
      <alignment horizontal="center" vertical="center" wrapText="1"/>
    </xf>
    <xf numFmtId="0" fontId="132" fillId="62" borderId="24" xfId="355" applyFont="1" applyFill="1" applyBorder="1" applyAlignment="1" applyProtection="1">
      <alignment horizontal="center" vertical="center"/>
      <protection locked="0"/>
    </xf>
    <xf numFmtId="3" fontId="132" fillId="62" borderId="24" xfId="355" applyNumberFormat="1" applyFont="1" applyFill="1" applyBorder="1" applyAlignment="1" applyProtection="1">
      <alignment horizontal="center" vertical="center"/>
      <protection locked="0"/>
    </xf>
    <xf numFmtId="3" fontId="132" fillId="62" borderId="35" xfId="355" applyNumberFormat="1" applyFont="1" applyFill="1" applyBorder="1" applyAlignment="1" applyProtection="1">
      <alignment horizontal="center" vertical="center"/>
      <protection locked="0"/>
    </xf>
    <xf numFmtId="0" fontId="132" fillId="31" borderId="36" xfId="355" applyFont="1" applyFill="1" applyBorder="1" applyAlignment="1" applyProtection="1">
      <alignment horizontal="center" vertical="center" wrapText="1"/>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right" vertical="center" indent="1"/>
    </xf>
    <xf numFmtId="0" fontId="3" fillId="0" borderId="13" xfId="0" applyNumberFormat="1" applyFont="1" applyFill="1" applyBorder="1" applyAlignment="1">
      <alignment horizontal="left" vertical="center" wrapText="1"/>
    </xf>
    <xf numFmtId="3" fontId="3" fillId="0" borderId="13" xfId="0" applyNumberFormat="1" applyFont="1" applyFill="1" applyBorder="1" applyAlignment="1">
      <alignment horizontal="right" vertical="center" indent="1"/>
    </xf>
    <xf numFmtId="2" fontId="3" fillId="0" borderId="13" xfId="0" applyNumberFormat="1" applyFont="1" applyFill="1" applyBorder="1" applyAlignment="1">
      <alignment horizontal="left" vertical="center" wrapText="1" indent="1"/>
    </xf>
    <xf numFmtId="2" fontId="3" fillId="0" borderId="13" xfId="0" applyNumberFormat="1" applyFont="1" applyFill="1" applyBorder="1" applyAlignment="1">
      <alignment horizontal="center" vertical="center"/>
    </xf>
    <xf numFmtId="2" fontId="4" fillId="0" borderId="13" xfId="0" applyNumberFormat="1" applyFont="1" applyFill="1" applyBorder="1" applyAlignment="1">
      <alignment horizontal="left" vertical="center" wrapText="1"/>
    </xf>
    <xf numFmtId="3" fontId="3" fillId="0" borderId="13" xfId="79" applyNumberFormat="1" applyFont="1" applyFill="1" applyBorder="1" applyAlignment="1">
      <alignment horizontal="right" vertical="center" indent="1"/>
    </xf>
    <xf numFmtId="206" fontId="3" fillId="0" borderId="13" xfId="0" applyNumberFormat="1" applyFont="1" applyFill="1" applyBorder="1" applyAlignment="1">
      <alignment horizontal="right" vertical="center" indent="3"/>
    </xf>
    <xf numFmtId="206" fontId="3" fillId="0" borderId="13" xfId="0" applyNumberFormat="1" applyFont="1" applyFill="1" applyBorder="1" applyAlignment="1">
      <alignment horizontal="right" vertical="center" indent="1"/>
    </xf>
    <xf numFmtId="14" fontId="0" fillId="0" borderId="13" xfId="0" applyNumberFormat="1" applyFill="1" applyBorder="1" applyAlignment="1">
      <alignment horizontal="right" vertical="center" indent="1"/>
    </xf>
    <xf numFmtId="14" fontId="0" fillId="0" borderId="13" xfId="0" applyNumberFormat="1" applyFill="1" applyBorder="1" applyAlignment="1">
      <alignment horizontal="center" vertical="center"/>
    </xf>
    <xf numFmtId="3" fontId="0" fillId="0" borderId="13" xfId="0" applyNumberFormat="1" applyFill="1" applyBorder="1" applyAlignment="1">
      <alignment horizontal="right" vertical="center" indent="1"/>
    </xf>
    <xf numFmtId="9" fontId="0" fillId="0" borderId="13" xfId="0" applyNumberFormat="1" applyFill="1" applyBorder="1" applyAlignment="1">
      <alignment horizontal="center" vertical="center"/>
    </xf>
    <xf numFmtId="0" fontId="3" fillId="0" borderId="13" xfId="0" applyFont="1" applyFill="1" applyBorder="1" applyAlignment="1">
      <alignment vertical="center" wrapText="1"/>
    </xf>
    <xf numFmtId="0" fontId="3" fillId="64" borderId="25" xfId="0" applyFont="1" applyFill="1" applyBorder="1" applyAlignment="1">
      <alignment horizontal="center" vertical="center" wrapText="1"/>
    </xf>
    <xf numFmtId="0" fontId="3" fillId="0" borderId="13" xfId="0" applyFont="1" applyFill="1" applyBorder="1" applyAlignment="1">
      <alignment horizontal="justify" vertical="justify" wrapText="1"/>
    </xf>
    <xf numFmtId="0" fontId="3" fillId="0" borderId="107" xfId="0" applyFont="1" applyFill="1" applyBorder="1" applyAlignment="1">
      <alignment horizontal="center" vertical="justify" wrapText="1"/>
    </xf>
    <xf numFmtId="1" fontId="3" fillId="0" borderId="13" xfId="0" applyNumberFormat="1" applyFont="1" applyFill="1" applyBorder="1" applyAlignment="1">
      <alignment horizontal="center" vertical="center"/>
    </xf>
    <xf numFmtId="2" fontId="121" fillId="0" borderId="13" xfId="0" applyNumberFormat="1" applyFont="1" applyFill="1" applyBorder="1" applyAlignment="1">
      <alignment horizontal="left" vertical="center" wrapText="1"/>
    </xf>
    <xf numFmtId="0" fontId="3" fillId="65" borderId="25" xfId="0" applyFont="1" applyFill="1" applyBorder="1" applyAlignment="1">
      <alignment horizontal="center" vertical="center" wrapText="1"/>
    </xf>
    <xf numFmtId="14" fontId="0" fillId="0" borderId="13" xfId="0" applyNumberFormat="1" applyFill="1" applyBorder="1" applyAlignment="1">
      <alignment horizontal="right" vertical="center" wrapText="1" indent="1"/>
    </xf>
    <xf numFmtId="207" fontId="3" fillId="0" borderId="13" xfId="0" applyNumberFormat="1" applyFont="1" applyFill="1" applyBorder="1" applyAlignment="1">
      <alignment horizontal="right" vertical="justify"/>
    </xf>
    <xf numFmtId="207" fontId="3" fillId="0" borderId="13" xfId="0" applyNumberFormat="1" applyFont="1" applyFill="1" applyBorder="1" applyAlignment="1">
      <alignment horizontal="left" vertical="justify"/>
    </xf>
    <xf numFmtId="0" fontId="3" fillId="66" borderId="25" xfId="0" applyFont="1" applyFill="1" applyBorder="1" applyAlignment="1">
      <alignment horizontal="center" vertical="center" wrapText="1"/>
    </xf>
    <xf numFmtId="0" fontId="3" fillId="0" borderId="20" xfId="0" applyFont="1" applyFill="1" applyBorder="1" applyAlignment="1">
      <alignment horizontal="justify" vertical="justify" wrapText="1"/>
    </xf>
    <xf numFmtId="3" fontId="3" fillId="0" borderId="13" xfId="0" applyNumberFormat="1" applyFont="1" applyFill="1" applyBorder="1" applyAlignment="1">
      <alignment horizontal="right" vertical="center" wrapText="1" indent="1"/>
    </xf>
    <xf numFmtId="206" fontId="3" fillId="0" borderId="13" xfId="0" applyNumberFormat="1" applyFont="1" applyFill="1" applyBorder="1" applyAlignment="1">
      <alignment horizontal="center" vertical="center"/>
    </xf>
    <xf numFmtId="0" fontId="3" fillId="0" borderId="107" xfId="0" applyFont="1" applyFill="1" applyBorder="1" applyAlignment="1">
      <alignment horizontal="center" vertical="center" wrapText="1"/>
    </xf>
    <xf numFmtId="0" fontId="3" fillId="67" borderId="25" xfId="0" applyFont="1" applyFill="1" applyBorder="1" applyAlignment="1">
      <alignment horizontal="center" vertical="center" wrapText="1"/>
    </xf>
    <xf numFmtId="1" fontId="3" fillId="0" borderId="20" xfId="0" applyNumberFormat="1" applyFont="1" applyFill="1" applyBorder="1" applyAlignment="1">
      <alignment horizontal="center" vertical="center"/>
    </xf>
    <xf numFmtId="0" fontId="3" fillId="0" borderId="108" xfId="0" applyFont="1" applyFill="1" applyBorder="1" applyAlignment="1">
      <alignment horizontal="center" vertical="justify" wrapText="1"/>
    </xf>
    <xf numFmtId="0" fontId="3" fillId="0" borderId="20" xfId="0" applyFont="1" applyFill="1" applyBorder="1" applyAlignment="1">
      <alignment horizontal="center" vertical="center"/>
    </xf>
    <xf numFmtId="207" fontId="3" fillId="0" borderId="107" xfId="0" applyNumberFormat="1" applyFont="1" applyFill="1" applyBorder="1" applyAlignment="1">
      <alignment horizontal="right" vertical="justify"/>
    </xf>
    <xf numFmtId="0" fontId="3" fillId="68" borderId="25" xfId="0" applyFont="1" applyFill="1" applyBorder="1" applyAlignment="1">
      <alignment horizontal="center" vertical="center" wrapText="1"/>
    </xf>
    <xf numFmtId="0" fontId="3" fillId="69" borderId="25" xfId="0" applyFont="1" applyFill="1" applyBorder="1" applyAlignment="1">
      <alignment horizontal="center" vertical="center" wrapText="1"/>
    </xf>
    <xf numFmtId="3" fontId="0" fillId="0" borderId="13" xfId="0" applyNumberFormat="1" applyFill="1" applyBorder="1" applyAlignment="1">
      <alignment horizontal="center" vertical="center"/>
    </xf>
    <xf numFmtId="9" fontId="0" fillId="0" borderId="13" xfId="437" applyFont="1" applyFill="1" applyBorder="1" applyAlignment="1">
      <alignment horizontal="center" vertical="center"/>
    </xf>
    <xf numFmtId="0" fontId="3" fillId="70" borderId="25" xfId="0" applyFont="1" applyFill="1" applyBorder="1" applyAlignment="1">
      <alignment horizontal="center" vertical="center" wrapText="1"/>
    </xf>
    <xf numFmtId="9" fontId="0" fillId="0" borderId="13" xfId="437" applyNumberFormat="1" applyFont="1" applyFill="1" applyBorder="1" applyAlignment="1">
      <alignment horizontal="center" vertical="center"/>
    </xf>
    <xf numFmtId="0" fontId="3" fillId="0" borderId="13" xfId="0" applyFont="1" applyFill="1" applyBorder="1" applyAlignment="1">
      <alignment horizontal="justify" vertical="center" wrapText="1"/>
    </xf>
    <xf numFmtId="207" fontId="3" fillId="0" borderId="13" xfId="0" applyNumberFormat="1" applyFont="1" applyFill="1" applyBorder="1" applyAlignment="1">
      <alignment horizontal="left" vertical="justify" wrapText="1"/>
    </xf>
    <xf numFmtId="0" fontId="3" fillId="71" borderId="25" xfId="0" applyFont="1" applyFill="1" applyBorder="1" applyAlignment="1">
      <alignment horizontal="center" vertical="center" wrapText="1"/>
    </xf>
    <xf numFmtId="171" fontId="0" fillId="26" borderId="13" xfId="212" applyNumberFormat="1" applyFont="1" applyFill="1" applyBorder="1" applyAlignment="1">
      <alignment horizontal="center" vertical="center" wrapText="1"/>
    </xf>
    <xf numFmtId="49" fontId="3" fillId="0" borderId="13" xfId="0" quotePrefix="1" applyNumberFormat="1" applyFont="1" applyFill="1" applyBorder="1" applyAlignment="1">
      <alignment horizontal="right" vertical="center" indent="1"/>
    </xf>
    <xf numFmtId="2" fontId="69" fillId="0" borderId="13" xfId="0" applyNumberFormat="1" applyFont="1" applyFill="1" applyBorder="1" applyAlignment="1">
      <alignment horizontal="left" vertical="center" wrapText="1" indent="1"/>
    </xf>
    <xf numFmtId="0" fontId="3" fillId="0" borderId="13" xfId="0" applyFont="1" applyFill="1" applyBorder="1" applyAlignment="1">
      <alignment horizontal="right" vertical="justify" wrapText="1"/>
    </xf>
    <xf numFmtId="49" fontId="3" fillId="0" borderId="13" xfId="0" quotePrefix="1" applyNumberFormat="1" applyFont="1" applyFill="1" applyBorder="1" applyAlignment="1">
      <alignment horizontal="right" vertical="center" wrapText="1" indent="1"/>
    </xf>
    <xf numFmtId="49" fontId="3" fillId="0" borderId="13" xfId="0" applyNumberFormat="1" applyFont="1" applyFill="1" applyBorder="1" applyAlignment="1">
      <alignment horizontal="right" vertical="center" wrapText="1" indent="1"/>
    </xf>
    <xf numFmtId="206" fontId="2" fillId="0" borderId="13" xfId="0" applyNumberFormat="1" applyFont="1" applyFill="1" applyBorder="1" applyAlignment="1">
      <alignment horizontal="right" vertical="center" wrapText="1" indent="1"/>
    </xf>
    <xf numFmtId="0" fontId="0" fillId="58" borderId="13" xfId="0" applyFill="1" applyBorder="1" applyAlignment="1">
      <alignment horizontal="center" vertical="center"/>
    </xf>
    <xf numFmtId="171" fontId="0" fillId="0" borderId="13" xfId="212" applyNumberFormat="1" applyFont="1" applyBorder="1" applyAlignment="1">
      <alignment horizontal="center" vertical="center" wrapText="1"/>
    </xf>
    <xf numFmtId="0" fontId="3" fillId="63" borderId="25" xfId="0" applyFont="1" applyFill="1" applyBorder="1" applyAlignment="1">
      <alignment horizontal="center" vertical="center" wrapText="1"/>
    </xf>
    <xf numFmtId="207" fontId="3" fillId="0" borderId="13" xfId="0" applyNumberFormat="1" applyFont="1" applyFill="1" applyBorder="1" applyAlignment="1">
      <alignment vertical="justify"/>
    </xf>
    <xf numFmtId="0" fontId="2" fillId="0" borderId="20" xfId="355" applyFont="1" applyBorder="1" applyAlignment="1" applyProtection="1">
      <alignment horizontal="center" vertical="center" wrapText="1"/>
    </xf>
    <xf numFmtId="0" fontId="2" fillId="0" borderId="20" xfId="355" applyFont="1" applyBorder="1" applyAlignment="1" applyProtection="1">
      <alignment horizontal="center" vertical="center"/>
    </xf>
    <xf numFmtId="43" fontId="2" fillId="0" borderId="24" xfId="143" applyFont="1" applyBorder="1" applyAlignment="1" applyProtection="1">
      <alignment horizontal="center" vertical="center"/>
    </xf>
    <xf numFmtId="43" fontId="2" fillId="0" borderId="36" xfId="143" applyFont="1" applyBorder="1" applyAlignment="1" applyProtection="1">
      <alignment horizontal="center" vertical="center"/>
    </xf>
    <xf numFmtId="43" fontId="2" fillId="0" borderId="20" xfId="143" applyFont="1" applyBorder="1" applyAlignment="1" applyProtection="1">
      <alignment horizontal="center" vertical="center"/>
    </xf>
    <xf numFmtId="0" fontId="2" fillId="26" borderId="13" xfId="0" applyFont="1" applyFill="1" applyBorder="1" applyAlignment="1">
      <alignment horizontal="center" vertical="center" wrapText="1"/>
    </xf>
    <xf numFmtId="43" fontId="2" fillId="26" borderId="24" xfId="143" applyFont="1" applyFill="1" applyBorder="1" applyAlignment="1" applyProtection="1">
      <alignment horizontal="center" vertical="center"/>
    </xf>
    <xf numFmtId="43" fontId="2" fillId="26" borderId="36" xfId="143" applyFont="1" applyFill="1" applyBorder="1" applyAlignment="1" applyProtection="1">
      <alignment horizontal="center" vertical="center"/>
    </xf>
    <xf numFmtId="43" fontId="2" fillId="26" borderId="20" xfId="143" applyFont="1" applyFill="1" applyBorder="1" applyAlignment="1" applyProtection="1">
      <alignment horizontal="center" vertical="center"/>
    </xf>
    <xf numFmtId="0" fontId="5" fillId="31" borderId="17" xfId="355" applyFont="1" applyFill="1" applyBorder="1" applyAlignment="1" applyProtection="1">
      <alignment horizontal="center" vertical="center" wrapText="1"/>
    </xf>
    <xf numFmtId="0" fontId="5" fillId="32" borderId="17" xfId="355" applyFont="1" applyFill="1" applyBorder="1" applyAlignment="1" applyProtection="1">
      <alignment horizontal="center" vertical="center"/>
      <protection locked="0"/>
    </xf>
    <xf numFmtId="0" fontId="5" fillId="26" borderId="17" xfId="355" applyFont="1" applyFill="1" applyBorder="1" applyAlignment="1" applyProtection="1">
      <alignment horizontal="center" vertical="center"/>
      <protection locked="0"/>
    </xf>
    <xf numFmtId="0" fontId="5" fillId="36" borderId="17" xfId="355" applyFont="1" applyFill="1" applyBorder="1" applyAlignment="1" applyProtection="1">
      <alignment horizontal="center" vertical="center"/>
      <protection locked="0"/>
    </xf>
    <xf numFmtId="3" fontId="5" fillId="32" borderId="17" xfId="355" applyNumberFormat="1" applyFont="1" applyFill="1" applyBorder="1" applyAlignment="1" applyProtection="1">
      <alignment horizontal="center" vertical="center"/>
      <protection locked="0"/>
    </xf>
    <xf numFmtId="0" fontId="2" fillId="36" borderId="13" xfId="355" applyFont="1" applyFill="1" applyBorder="1" applyAlignment="1" applyProtection="1">
      <alignment vertical="center"/>
    </xf>
    <xf numFmtId="0" fontId="2" fillId="36" borderId="16" xfId="355" applyFont="1" applyFill="1" applyBorder="1" applyAlignment="1" applyProtection="1">
      <alignment vertical="center"/>
    </xf>
    <xf numFmtId="0" fontId="0" fillId="0" borderId="13" xfId="0" applyBorder="1" applyAlignment="1">
      <alignment horizontal="center"/>
    </xf>
    <xf numFmtId="14" fontId="2" fillId="36" borderId="13" xfId="355" applyNumberFormat="1" applyFont="1" applyFill="1" applyBorder="1" applyAlignment="1" applyProtection="1">
      <alignment vertical="center"/>
    </xf>
    <xf numFmtId="3" fontId="75" fillId="0" borderId="13" xfId="0" applyNumberFormat="1" applyFont="1" applyBorder="1" applyAlignment="1">
      <alignment horizontal="right" vertical="center"/>
    </xf>
    <xf numFmtId="14" fontId="2" fillId="36" borderId="16" xfId="355" applyNumberFormat="1" applyFont="1" applyFill="1" applyBorder="1" applyAlignment="1" applyProtection="1">
      <alignment vertical="center"/>
    </xf>
    <xf numFmtId="3" fontId="2" fillId="0" borderId="16" xfId="355" applyNumberFormat="1" applyFont="1" applyBorder="1" applyAlignment="1" applyProtection="1">
      <alignment horizontal="right" vertical="center" wrapText="1"/>
    </xf>
    <xf numFmtId="14" fontId="75" fillId="36" borderId="13" xfId="0" applyNumberFormat="1" applyFont="1" applyFill="1" applyBorder="1" applyAlignment="1">
      <alignment vertical="center" wrapText="1"/>
    </xf>
    <xf numFmtId="3" fontId="75" fillId="26" borderId="13" xfId="0" applyNumberFormat="1" applyFont="1" applyFill="1" applyBorder="1" applyAlignment="1">
      <alignment horizontal="right" vertical="center"/>
    </xf>
    <xf numFmtId="43" fontId="2" fillId="0" borderId="13" xfId="355" applyNumberFormat="1" applyFont="1" applyBorder="1" applyAlignment="1" applyProtection="1">
      <alignment vertical="center" wrapText="1"/>
      <protection locked="0"/>
    </xf>
    <xf numFmtId="208" fontId="75" fillId="0" borderId="0" xfId="0" applyNumberFormat="1" applyFont="1" applyAlignment="1">
      <alignment vertical="center"/>
    </xf>
    <xf numFmtId="14" fontId="75" fillId="36" borderId="16" xfId="0" applyNumberFormat="1" applyFont="1" applyFill="1" applyBorder="1" applyAlignment="1">
      <alignment vertical="center" wrapText="1"/>
    </xf>
    <xf numFmtId="9" fontId="0" fillId="0" borderId="36" xfId="0" applyNumberFormat="1" applyBorder="1" applyAlignment="1">
      <alignment horizontal="center" vertical="center"/>
    </xf>
    <xf numFmtId="209" fontId="121" fillId="0" borderId="0" xfId="0" applyNumberFormat="1" applyFont="1" applyBorder="1" applyAlignment="1">
      <alignment horizontal="center" vertical="center"/>
    </xf>
    <xf numFmtId="9" fontId="0" fillId="0" borderId="20" xfId="0" applyNumberFormat="1" applyBorder="1" applyAlignment="1">
      <alignment horizontal="center" vertical="center"/>
    </xf>
    <xf numFmtId="0" fontId="2" fillId="36" borderId="12" xfId="348" applyFont="1" applyFill="1" applyBorder="1" applyAlignment="1">
      <alignment horizontal="left" vertical="center" wrapText="1"/>
    </xf>
    <xf numFmtId="3" fontId="2" fillId="65" borderId="35" xfId="428" applyNumberFormat="1" applyFont="1" applyFill="1" applyBorder="1" applyAlignment="1">
      <alignment vertical="center" wrapText="1"/>
    </xf>
    <xf numFmtId="0" fontId="2" fillId="36" borderId="13" xfId="355" applyFont="1" applyFill="1" applyBorder="1" applyAlignment="1" applyProtection="1">
      <alignment horizontal="left" vertical="center"/>
    </xf>
    <xf numFmtId="0" fontId="2" fillId="36" borderId="13" xfId="355" applyFont="1" applyFill="1" applyBorder="1" applyAlignment="1" applyProtection="1">
      <alignment vertical="center" wrapText="1"/>
    </xf>
    <xf numFmtId="3" fontId="2" fillId="65" borderId="35" xfId="428" applyNumberFormat="1" applyFont="1" applyFill="1" applyBorder="1" applyAlignment="1">
      <alignment horizontal="center" vertical="center" wrapText="1"/>
    </xf>
    <xf numFmtId="0" fontId="2" fillId="36" borderId="13" xfId="355" applyFont="1" applyFill="1" applyBorder="1" applyAlignment="1" applyProtection="1">
      <alignment horizontal="center" vertical="center"/>
    </xf>
    <xf numFmtId="3" fontId="2" fillId="36" borderId="16" xfId="355" applyNumberFormat="1" applyFont="1" applyFill="1" applyBorder="1" applyAlignment="1" applyProtection="1">
      <alignment vertical="center"/>
    </xf>
    <xf numFmtId="3" fontId="2" fillId="36" borderId="13" xfId="355" applyNumberFormat="1" applyFont="1" applyFill="1" applyBorder="1" applyAlignment="1" applyProtection="1">
      <alignment vertical="center"/>
    </xf>
    <xf numFmtId="209" fontId="121" fillId="36" borderId="0" xfId="0" applyNumberFormat="1" applyFont="1" applyFill="1" applyBorder="1" applyAlignment="1">
      <alignment horizontal="center" vertical="center"/>
    </xf>
    <xf numFmtId="9" fontId="0" fillId="36" borderId="20" xfId="0" applyNumberFormat="1" applyFill="1" applyBorder="1" applyAlignment="1">
      <alignment horizontal="center" vertical="center"/>
    </xf>
    <xf numFmtId="209" fontId="121" fillId="0" borderId="109" xfId="0" applyNumberFormat="1" applyFont="1" applyBorder="1" applyAlignment="1">
      <alignment vertical="center"/>
    </xf>
    <xf numFmtId="209" fontId="94" fillId="0" borderId="109" xfId="0" applyNumberFormat="1" applyFont="1" applyBorder="1" applyAlignment="1">
      <alignment vertical="center" wrapText="1"/>
    </xf>
    <xf numFmtId="0" fontId="0" fillId="0" borderId="13" xfId="0" applyBorder="1" applyAlignment="1">
      <alignment vertical="center"/>
    </xf>
    <xf numFmtId="3" fontId="2" fillId="0" borderId="31" xfId="143" applyNumberFormat="1" applyFont="1" applyBorder="1" applyAlignment="1" applyProtection="1">
      <alignment vertical="center"/>
    </xf>
    <xf numFmtId="43" fontId="2" fillId="0" borderId="13" xfId="355" applyNumberFormat="1" applyFont="1" applyBorder="1" applyAlignment="1" applyProtection="1">
      <alignment vertical="center"/>
      <protection locked="0"/>
    </xf>
    <xf numFmtId="9" fontId="0" fillId="0" borderId="13" xfId="0" applyNumberFormat="1" applyBorder="1" applyAlignment="1">
      <alignment horizontal="center" vertical="center"/>
    </xf>
    <xf numFmtId="0" fontId="0" fillId="0" borderId="13" xfId="0" applyBorder="1" applyAlignment="1">
      <alignment vertical="center" wrapText="1"/>
    </xf>
    <xf numFmtId="196" fontId="0" fillId="0" borderId="13" xfId="437" applyNumberFormat="1" applyFont="1" applyFill="1" applyBorder="1" applyAlignment="1">
      <alignment horizontal="center" vertical="center"/>
    </xf>
    <xf numFmtId="0" fontId="0" fillId="0" borderId="13" xfId="0" applyFill="1" applyBorder="1" applyAlignment="1">
      <alignment vertical="center" wrapText="1"/>
    </xf>
    <xf numFmtId="43" fontId="2" fillId="26" borderId="16" xfId="143" applyFont="1" applyFill="1" applyBorder="1" applyAlignment="1" applyProtection="1">
      <alignment vertical="center"/>
    </xf>
    <xf numFmtId="9" fontId="0" fillId="0" borderId="13" xfId="437" applyFont="1" applyBorder="1" applyAlignment="1">
      <alignment horizontal="center" vertical="center"/>
    </xf>
    <xf numFmtId="0" fontId="5" fillId="26" borderId="13" xfId="355" applyFont="1" applyFill="1" applyBorder="1" applyAlignment="1" applyProtection="1">
      <alignment horizontal="center" vertical="center"/>
    </xf>
    <xf numFmtId="3" fontId="2" fillId="0" borderId="16" xfId="143" applyNumberFormat="1" applyFont="1" applyBorder="1" applyAlignment="1" applyProtection="1">
      <alignment vertical="center"/>
    </xf>
    <xf numFmtId="0" fontId="0" fillId="0" borderId="13" xfId="0" applyFill="1" applyBorder="1" applyAlignment="1">
      <alignment horizontal="center"/>
    </xf>
    <xf numFmtId="0" fontId="2" fillId="0" borderId="13" xfId="355" applyFont="1" applyFill="1" applyBorder="1" applyAlignment="1" applyProtection="1">
      <alignment horizontal="left" vertical="center"/>
    </xf>
    <xf numFmtId="167" fontId="2" fillId="0" borderId="13" xfId="355" applyNumberFormat="1" applyFont="1" applyBorder="1" applyAlignment="1" applyProtection="1">
      <alignment vertical="center"/>
      <protection locked="0"/>
    </xf>
    <xf numFmtId="0" fontId="2" fillId="36" borderId="13" xfId="355" applyFont="1" applyFill="1" applyBorder="1" applyAlignment="1" applyProtection="1">
      <alignment horizontal="left" vertical="top"/>
    </xf>
    <xf numFmtId="209" fontId="2" fillId="0" borderId="13" xfId="212" applyNumberFormat="1" applyFont="1" applyBorder="1" applyAlignment="1" applyProtection="1">
      <alignment vertical="center"/>
      <protection locked="0"/>
    </xf>
    <xf numFmtId="0" fontId="2" fillId="36" borderId="16" xfId="355" applyFont="1" applyFill="1" applyBorder="1" applyAlignment="1" applyProtection="1">
      <alignment horizontal="center" vertical="center"/>
    </xf>
    <xf numFmtId="3" fontId="2" fillId="0" borderId="16" xfId="355" applyNumberFormat="1" applyFont="1" applyBorder="1" applyAlignment="1" applyProtection="1">
      <alignment horizontal="center" vertical="center"/>
    </xf>
    <xf numFmtId="3" fontId="2" fillId="26" borderId="31" xfId="143" applyNumberFormat="1" applyFont="1" applyFill="1" applyBorder="1" applyAlignment="1" applyProtection="1">
      <alignment horizontal="center" vertical="center"/>
    </xf>
    <xf numFmtId="167" fontId="2" fillId="26" borderId="13" xfId="355" applyNumberFormat="1" applyFont="1" applyFill="1" applyBorder="1" applyAlignment="1" applyProtection="1">
      <alignment horizontal="center" vertical="center"/>
    </xf>
    <xf numFmtId="167" fontId="0" fillId="0" borderId="0" xfId="79" applyFont="1"/>
    <xf numFmtId="0" fontId="116" fillId="29" borderId="42" xfId="379" applyFont="1" applyFill="1" applyBorder="1" applyAlignment="1">
      <alignment horizontal="center" vertical="center"/>
    </xf>
    <xf numFmtId="0" fontId="116" fillId="29" borderId="43" xfId="379" applyFont="1" applyFill="1" applyBorder="1" applyAlignment="1">
      <alignment horizontal="center" vertical="center"/>
    </xf>
    <xf numFmtId="0" fontId="117" fillId="29" borderId="44" xfId="379" applyFont="1" applyFill="1" applyBorder="1" applyAlignment="1">
      <alignment horizontal="center" vertical="center"/>
    </xf>
    <xf numFmtId="0" fontId="117" fillId="29" borderId="45" xfId="379" applyFont="1" applyFill="1" applyBorder="1" applyAlignment="1">
      <alignment horizontal="center" vertical="center"/>
    </xf>
    <xf numFmtId="0" fontId="65" fillId="29" borderId="44" xfId="379" applyFont="1" applyFill="1" applyBorder="1" applyAlignment="1">
      <alignment horizontal="center" vertical="center"/>
    </xf>
    <xf numFmtId="0" fontId="65" fillId="29" borderId="45" xfId="379" applyFont="1" applyFill="1" applyBorder="1" applyAlignment="1">
      <alignment horizontal="center" vertical="center"/>
    </xf>
    <xf numFmtId="0" fontId="118" fillId="50" borderId="44" xfId="0" applyFont="1" applyFill="1" applyBorder="1" applyAlignment="1">
      <alignment horizontal="center" vertical="center" wrapText="1"/>
    </xf>
    <xf numFmtId="0" fontId="118" fillId="50" borderId="0" xfId="0" applyFont="1" applyFill="1" applyBorder="1" applyAlignment="1">
      <alignment horizontal="center" vertical="center" wrapText="1"/>
    </xf>
    <xf numFmtId="0" fontId="69" fillId="0" borderId="50" xfId="0" applyFont="1" applyBorder="1" applyAlignment="1">
      <alignment horizontal="center" vertical="center"/>
    </xf>
    <xf numFmtId="0" fontId="70" fillId="0" borderId="0" xfId="0" applyFont="1" applyBorder="1" applyAlignment="1">
      <alignment horizontal="center" vertical="center"/>
    </xf>
    <xf numFmtId="0" fontId="6" fillId="55" borderId="17" xfId="379" applyFont="1" applyFill="1" applyBorder="1" applyAlignment="1" applyProtection="1">
      <alignment horizontal="center" vertical="center" wrapText="1"/>
    </xf>
    <xf numFmtId="0" fontId="6" fillId="52" borderId="17" xfId="379" applyFont="1" applyFill="1" applyBorder="1" applyAlignment="1" applyProtection="1">
      <alignment horizontal="center" vertical="center" wrapText="1"/>
    </xf>
    <xf numFmtId="0" fontId="6" fillId="52" borderId="46" xfId="379" applyFont="1" applyFill="1" applyBorder="1" applyAlignment="1" applyProtection="1">
      <alignment horizontal="center" vertical="center" wrapText="1"/>
    </xf>
    <xf numFmtId="0" fontId="6" fillId="52" borderId="23" xfId="379" applyFont="1" applyFill="1" applyBorder="1" applyAlignment="1" applyProtection="1">
      <alignment horizontal="center" vertical="center" wrapText="1"/>
    </xf>
    <xf numFmtId="0" fontId="6" fillId="52" borderId="23" xfId="0" applyFont="1" applyFill="1" applyBorder="1" applyAlignment="1">
      <alignment horizontal="center" vertical="center" wrapText="1"/>
    </xf>
    <xf numFmtId="0" fontId="6" fillId="52" borderId="46" xfId="0" applyFont="1" applyFill="1" applyBorder="1" applyAlignment="1">
      <alignment horizontal="center" vertical="center" wrapText="1"/>
    </xf>
    <xf numFmtId="0" fontId="6" fillId="52" borderId="17" xfId="379" applyFont="1" applyFill="1" applyBorder="1" applyAlignment="1" applyProtection="1">
      <alignment horizontal="center" vertical="center" wrapText="1"/>
      <protection locked="0"/>
    </xf>
    <xf numFmtId="0" fontId="70" fillId="52" borderId="47" xfId="0" applyFont="1" applyFill="1" applyBorder="1" applyAlignment="1">
      <alignment horizontal="center" vertical="center" wrapText="1"/>
    </xf>
    <xf numFmtId="0" fontId="70" fillId="52" borderId="48" xfId="0" applyFont="1" applyFill="1" applyBorder="1" applyAlignment="1">
      <alignment horizontal="center" vertical="center" wrapText="1"/>
    </xf>
    <xf numFmtId="0" fontId="70" fillId="52" borderId="43" xfId="0" applyFont="1" applyFill="1" applyBorder="1" applyAlignment="1">
      <alignment horizontal="center" vertical="center" wrapText="1"/>
    </xf>
    <xf numFmtId="0" fontId="70" fillId="52" borderId="49" xfId="0" applyFont="1" applyFill="1" applyBorder="1" applyAlignment="1">
      <alignment horizontal="center" vertical="center" wrapText="1"/>
    </xf>
    <xf numFmtId="164" fontId="69" fillId="0" borderId="43" xfId="0" applyNumberFormat="1" applyFont="1" applyBorder="1" applyAlignment="1">
      <alignment horizontal="center" vertical="center" wrapText="1"/>
    </xf>
    <xf numFmtId="0" fontId="69" fillId="0" borderId="49" xfId="0" applyFont="1" applyBorder="1" applyAlignment="1">
      <alignment horizontal="center" vertical="center" wrapText="1"/>
    </xf>
    <xf numFmtId="0" fontId="3" fillId="56" borderId="12" xfId="379" applyFont="1" applyFill="1" applyBorder="1" applyAlignment="1" applyProtection="1">
      <alignment horizontal="center" vertical="center" wrapText="1"/>
    </xf>
    <xf numFmtId="0" fontId="3" fillId="56" borderId="33" xfId="379" applyFont="1" applyFill="1" applyBorder="1" applyAlignment="1" applyProtection="1">
      <alignment horizontal="center" vertical="center" wrapText="1"/>
    </xf>
    <xf numFmtId="193" fontId="3" fillId="0" borderId="13" xfId="379" applyNumberFormat="1" applyFont="1" applyBorder="1" applyAlignment="1" applyProtection="1">
      <alignment horizontal="center" vertical="center" wrapText="1"/>
    </xf>
    <xf numFmtId="17" fontId="3" fillId="0" borderId="56" xfId="379" applyNumberFormat="1" applyFont="1" applyBorder="1" applyAlignment="1" applyProtection="1">
      <alignment horizontal="center" vertical="center" wrapText="1"/>
    </xf>
    <xf numFmtId="17" fontId="3" fillId="0" borderId="57" xfId="379" applyNumberFormat="1" applyFont="1" applyBorder="1" applyAlignment="1" applyProtection="1">
      <alignment horizontal="center" vertical="center" wrapText="1"/>
    </xf>
    <xf numFmtId="17" fontId="3" fillId="0" borderId="72" xfId="379" applyNumberFormat="1" applyFont="1" applyBorder="1" applyAlignment="1" applyProtection="1">
      <alignment horizontal="center" vertical="center" wrapText="1"/>
    </xf>
    <xf numFmtId="17" fontId="3" fillId="0" borderId="73" xfId="379" applyNumberFormat="1" applyFont="1" applyBorder="1" applyAlignment="1" applyProtection="1">
      <alignment horizontal="center" vertical="center" wrapText="1"/>
    </xf>
    <xf numFmtId="0" fontId="3" fillId="0" borderId="56" xfId="379" applyFont="1" applyBorder="1" applyAlignment="1" applyProtection="1">
      <alignment horizontal="center" vertical="center" wrapText="1"/>
    </xf>
    <xf numFmtId="0" fontId="3" fillId="0" borderId="57" xfId="379" applyFont="1" applyBorder="1" applyAlignment="1" applyProtection="1">
      <alignment horizontal="center" vertical="center" wrapText="1"/>
    </xf>
    <xf numFmtId="164" fontId="69" fillId="0" borderId="47" xfId="0" applyNumberFormat="1"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36" xfId="0" applyFont="1" applyBorder="1" applyAlignment="1">
      <alignment horizontal="center" vertical="center" wrapText="1"/>
    </xf>
    <xf numFmtId="0" fontId="69" fillId="0" borderId="20" xfId="0" applyFont="1" applyBorder="1" applyAlignment="1">
      <alignment horizontal="center" vertical="center" wrapText="1"/>
    </xf>
    <xf numFmtId="0" fontId="3" fillId="0" borderId="37" xfId="355" applyFont="1" applyBorder="1" applyAlignment="1" applyProtection="1">
      <alignment horizontal="center" vertical="center" wrapText="1"/>
    </xf>
    <xf numFmtId="0" fontId="3" fillId="0" borderId="53" xfId="355" applyFont="1" applyBorder="1" applyAlignment="1" applyProtection="1">
      <alignment horizontal="center" vertical="center" wrapText="1"/>
    </xf>
    <xf numFmtId="0" fontId="3" fillId="0" borderId="10" xfId="355" applyFont="1" applyBorder="1" applyAlignment="1" applyProtection="1">
      <alignment horizontal="center" vertical="center" wrapText="1"/>
    </xf>
    <xf numFmtId="171" fontId="3" fillId="0" borderId="24" xfId="216" applyNumberFormat="1" applyFont="1" applyBorder="1" applyAlignment="1" applyProtection="1">
      <alignment horizontal="center" vertical="center" wrapText="1"/>
    </xf>
    <xf numFmtId="171" fontId="3" fillId="0" borderId="36" xfId="216" applyNumberFormat="1" applyFont="1" applyBorder="1" applyAlignment="1" applyProtection="1">
      <alignment horizontal="center" vertical="center" wrapText="1"/>
    </xf>
    <xf numFmtId="171" fontId="3" fillId="0" borderId="20" xfId="216" applyNumberFormat="1" applyFont="1" applyBorder="1" applyAlignment="1" applyProtection="1">
      <alignment horizontal="center" vertical="center" wrapText="1"/>
    </xf>
    <xf numFmtId="0" fontId="3" fillId="0" borderId="24" xfId="355" applyFont="1" applyBorder="1" applyAlignment="1" applyProtection="1">
      <alignment horizontal="left" vertical="center" wrapText="1"/>
    </xf>
    <xf numFmtId="0" fontId="3" fillId="0" borderId="36" xfId="355" applyFont="1" applyBorder="1" applyAlignment="1" applyProtection="1">
      <alignment horizontal="left" vertical="center" wrapText="1"/>
    </xf>
    <xf numFmtId="0" fontId="3" fillId="0" borderId="20" xfId="355" applyFont="1" applyBorder="1" applyAlignment="1" applyProtection="1">
      <alignment horizontal="left" vertical="center" wrapText="1"/>
    </xf>
    <xf numFmtId="0" fontId="69" fillId="0" borderId="24" xfId="0" applyFont="1" applyBorder="1" applyAlignment="1">
      <alignment horizontal="center" vertical="center"/>
    </xf>
    <xf numFmtId="0" fontId="69" fillId="0" borderId="36" xfId="0" applyFont="1" applyBorder="1" applyAlignment="1">
      <alignment horizontal="center" vertical="center"/>
    </xf>
    <xf numFmtId="0" fontId="69" fillId="0" borderId="20" xfId="0" applyFont="1" applyBorder="1" applyAlignment="1">
      <alignment horizontal="center" vertical="center"/>
    </xf>
    <xf numFmtId="0" fontId="3" fillId="0" borderId="13" xfId="355" applyFont="1" applyBorder="1" applyAlignment="1" applyProtection="1">
      <alignment horizontal="left" vertical="center" wrapText="1"/>
    </xf>
    <xf numFmtId="0" fontId="69" fillId="0" borderId="24" xfId="0" applyFont="1" applyBorder="1" applyAlignment="1">
      <alignment horizontal="left" vertical="center" wrapText="1"/>
    </xf>
    <xf numFmtId="0" fontId="69" fillId="0" borderId="36" xfId="0" applyFont="1" applyBorder="1" applyAlignment="1">
      <alignment horizontal="left" vertical="center" wrapText="1"/>
    </xf>
    <xf numFmtId="0" fontId="69" fillId="0" borderId="20" xfId="0" applyFont="1" applyBorder="1" applyAlignment="1">
      <alignment horizontal="left" vertical="center" wrapText="1"/>
    </xf>
    <xf numFmtId="0" fontId="3" fillId="0" borderId="12" xfId="355" applyFont="1" applyBorder="1" applyAlignment="1" applyProtection="1">
      <alignment horizontal="left" vertical="center" wrapText="1"/>
    </xf>
    <xf numFmtId="171" fontId="3" fillId="0" borderId="13" xfId="216" applyNumberFormat="1" applyFont="1" applyBorder="1" applyAlignment="1" applyProtection="1">
      <alignment horizontal="center" vertical="center" wrapText="1"/>
    </xf>
    <xf numFmtId="0" fontId="3" fillId="0" borderId="24" xfId="355" applyFont="1" applyBorder="1" applyAlignment="1" applyProtection="1">
      <alignment horizontal="center" vertical="center" wrapText="1"/>
      <protection locked="0"/>
    </xf>
    <xf numFmtId="0" fontId="3" fillId="0" borderId="20" xfId="355" applyFont="1" applyBorder="1" applyAlignment="1" applyProtection="1">
      <alignment horizontal="center" vertical="center" wrapText="1"/>
      <protection locked="0"/>
    </xf>
    <xf numFmtId="0" fontId="3" fillId="0" borderId="36" xfId="355" applyFont="1" applyBorder="1" applyAlignment="1" applyProtection="1">
      <alignment horizontal="center" vertical="center" wrapText="1"/>
      <protection locked="0"/>
    </xf>
    <xf numFmtId="0" fontId="69" fillId="31" borderId="23" xfId="0" applyFont="1" applyFill="1" applyBorder="1" applyAlignment="1">
      <alignment horizontal="center" vertical="center"/>
    </xf>
    <xf numFmtId="0" fontId="69" fillId="31" borderId="51" xfId="0" applyFont="1" applyFill="1" applyBorder="1" applyAlignment="1">
      <alignment horizontal="center" vertical="center"/>
    </xf>
    <xf numFmtId="0" fontId="69" fillId="31" borderId="46" xfId="0" applyFont="1" applyFill="1" applyBorder="1" applyAlignment="1">
      <alignment horizontal="center" vertical="center"/>
    </xf>
    <xf numFmtId="0" fontId="6" fillId="34" borderId="17" xfId="355" applyFont="1" applyFill="1" applyBorder="1" applyAlignment="1" applyProtection="1">
      <alignment horizontal="center" vertical="center"/>
      <protection locked="0"/>
    </xf>
    <xf numFmtId="0" fontId="6" fillId="34" borderId="17" xfId="355" applyFont="1" applyFill="1" applyBorder="1" applyAlignment="1" applyProtection="1">
      <alignment horizontal="center" vertical="center" wrapText="1"/>
      <protection locked="0"/>
    </xf>
    <xf numFmtId="0" fontId="69" fillId="34" borderId="47" xfId="0" applyFont="1" applyFill="1" applyBorder="1" applyAlignment="1">
      <alignment horizontal="center" vertical="center"/>
    </xf>
    <xf numFmtId="0" fontId="69" fillId="34" borderId="48" xfId="0" applyFont="1" applyFill="1" applyBorder="1" applyAlignment="1">
      <alignment horizontal="center" vertical="center"/>
    </xf>
    <xf numFmtId="0" fontId="69" fillId="34" borderId="47" xfId="0" applyFont="1" applyFill="1" applyBorder="1" applyAlignment="1">
      <alignment horizontal="center" vertical="center" wrapText="1"/>
    </xf>
    <xf numFmtId="0" fontId="69" fillId="34" borderId="48" xfId="0" applyFont="1" applyFill="1" applyBorder="1" applyAlignment="1">
      <alignment horizontal="center" vertical="center" wrapText="1"/>
    </xf>
    <xf numFmtId="0" fontId="73" fillId="0" borderId="23" xfId="0" applyFont="1" applyBorder="1" applyAlignment="1">
      <alignment horizontal="center" vertical="center"/>
    </xf>
    <xf numFmtId="0" fontId="73" fillId="0" borderId="46" xfId="0" applyFont="1" applyBorder="1" applyAlignment="1">
      <alignment horizontal="center" vertical="center"/>
    </xf>
    <xf numFmtId="0" fontId="6" fillId="31" borderId="17" xfId="355" applyFont="1" applyFill="1" applyBorder="1" applyAlignment="1" applyProtection="1">
      <alignment horizontal="center" vertical="center" wrapText="1"/>
    </xf>
    <xf numFmtId="0" fontId="6" fillId="31" borderId="24" xfId="355" applyFont="1" applyFill="1" applyBorder="1" applyAlignment="1" applyProtection="1">
      <alignment horizontal="center" vertical="center" wrapText="1"/>
    </xf>
    <xf numFmtId="0" fontId="6" fillId="31" borderId="20" xfId="355" applyFont="1" applyFill="1" applyBorder="1" applyAlignment="1" applyProtection="1">
      <alignment horizontal="center" vertical="center" wrapText="1"/>
    </xf>
    <xf numFmtId="0" fontId="2" fillId="0" borderId="24" xfId="355" applyBorder="1" applyAlignment="1" applyProtection="1">
      <alignment horizontal="center" vertical="center" wrapText="1"/>
    </xf>
    <xf numFmtId="0" fontId="2" fillId="0" borderId="36" xfId="355" applyBorder="1" applyAlignment="1" applyProtection="1">
      <alignment horizontal="center" vertical="center" wrapText="1"/>
    </xf>
    <xf numFmtId="0" fontId="2" fillId="0" borderId="20" xfId="355" applyBorder="1" applyAlignment="1" applyProtection="1">
      <alignment horizontal="center" vertical="center" wrapText="1"/>
    </xf>
    <xf numFmtId="0" fontId="6" fillId="31" borderId="35" xfId="355" applyFont="1" applyFill="1" applyBorder="1" applyAlignment="1" applyProtection="1">
      <alignment horizontal="center" vertical="center" wrapText="1"/>
    </xf>
    <xf numFmtId="0" fontId="6" fillId="31" borderId="30" xfId="355" applyFont="1" applyFill="1" applyBorder="1" applyAlignment="1" applyProtection="1">
      <alignment horizontal="center" vertical="center" wrapText="1"/>
    </xf>
    <xf numFmtId="0" fontId="69" fillId="31" borderId="0" xfId="0" applyFont="1" applyFill="1" applyAlignment="1">
      <alignment horizontal="center" vertical="center"/>
    </xf>
    <xf numFmtId="0" fontId="6" fillId="31" borderId="62" xfId="355" applyFont="1" applyFill="1" applyBorder="1" applyAlignment="1" applyProtection="1">
      <alignment horizontal="center" vertical="center" wrapText="1"/>
    </xf>
    <xf numFmtId="0" fontId="69" fillId="34" borderId="13" xfId="0" applyFont="1" applyFill="1" applyBorder="1" applyAlignment="1">
      <alignment horizontal="center" vertical="center"/>
    </xf>
    <xf numFmtId="9" fontId="0" fillId="0" borderId="52" xfId="437" applyFont="1" applyBorder="1" applyAlignment="1">
      <alignment horizontal="center"/>
    </xf>
    <xf numFmtId="9" fontId="0" fillId="0" borderId="44" xfId="437" applyFont="1" applyBorder="1" applyAlignment="1">
      <alignment horizontal="center"/>
    </xf>
    <xf numFmtId="0" fontId="64" fillId="48" borderId="17" xfId="0" applyFont="1" applyFill="1" applyBorder="1" applyAlignment="1">
      <alignment horizontal="center" vertical="center"/>
    </xf>
    <xf numFmtId="0" fontId="64" fillId="48" borderId="47" xfId="0" applyFont="1" applyFill="1" applyBorder="1" applyAlignment="1">
      <alignment horizontal="center" vertical="center"/>
    </xf>
    <xf numFmtId="0" fontId="118" fillId="45" borderId="44" xfId="0" applyFont="1" applyFill="1" applyBorder="1" applyAlignment="1">
      <alignment horizontal="center" vertical="center" wrapText="1"/>
    </xf>
    <xf numFmtId="0" fontId="118" fillId="45" borderId="0" xfId="0" applyFont="1" applyFill="1" applyBorder="1" applyAlignment="1">
      <alignment horizontal="center" vertical="center" wrapText="1"/>
    </xf>
    <xf numFmtId="0" fontId="70" fillId="0" borderId="50" xfId="0" applyFont="1" applyBorder="1" applyAlignment="1">
      <alignment horizontal="center" vertical="center"/>
    </xf>
    <xf numFmtId="0" fontId="6" fillId="31" borderId="47" xfId="355" applyFont="1" applyFill="1" applyBorder="1" applyAlignment="1" applyProtection="1">
      <alignment horizontal="center" vertical="center" wrapText="1"/>
    </xf>
    <xf numFmtId="0" fontId="6" fillId="31" borderId="23" xfId="355" applyFont="1" applyFill="1" applyBorder="1" applyAlignment="1" applyProtection="1">
      <alignment horizontal="center" vertical="center" wrapText="1"/>
    </xf>
    <xf numFmtId="0" fontId="6" fillId="34" borderId="23" xfId="355" applyFont="1" applyFill="1" applyBorder="1" applyAlignment="1" applyProtection="1">
      <alignment horizontal="center" vertical="center" wrapText="1"/>
      <protection locked="0"/>
    </xf>
    <xf numFmtId="0" fontId="64" fillId="48" borderId="54" xfId="0" applyFont="1" applyFill="1" applyBorder="1" applyAlignment="1">
      <alignment horizontal="center" vertical="center"/>
    </xf>
    <xf numFmtId="0" fontId="64" fillId="48" borderId="99" xfId="0" applyFont="1" applyFill="1" applyBorder="1" applyAlignment="1">
      <alignment horizontal="center" vertical="center"/>
    </xf>
    <xf numFmtId="0" fontId="6" fillId="31" borderId="13" xfId="355" applyFont="1" applyFill="1" applyBorder="1" applyAlignment="1" applyProtection="1">
      <alignment horizontal="center" vertical="center" wrapText="1"/>
    </xf>
    <xf numFmtId="0" fontId="6" fillId="58" borderId="13" xfId="355" applyFont="1" applyFill="1" applyBorder="1" applyAlignment="1" applyProtection="1">
      <alignment horizontal="center" vertical="center" wrapText="1"/>
    </xf>
    <xf numFmtId="0" fontId="7" fillId="26" borderId="0" xfId="355" applyFont="1" applyFill="1" applyAlignment="1" applyProtection="1">
      <alignment horizontal="center" vertical="center"/>
      <protection locked="0"/>
    </xf>
    <xf numFmtId="0" fontId="6" fillId="31" borderId="39" xfId="355" applyFont="1" applyFill="1" applyBorder="1" applyAlignment="1" applyProtection="1">
      <alignment horizontal="center" vertical="center" wrapText="1"/>
    </xf>
    <xf numFmtId="0" fontId="6" fillId="34" borderId="39" xfId="355" applyFont="1" applyFill="1" applyBorder="1" applyAlignment="1" applyProtection="1">
      <alignment horizontal="center" vertical="center"/>
      <protection locked="0"/>
    </xf>
    <xf numFmtId="0" fontId="6" fillId="34" borderId="32" xfId="355" applyFont="1" applyFill="1" applyBorder="1" applyAlignment="1" applyProtection="1">
      <alignment horizontal="center" vertical="center"/>
      <protection locked="0"/>
    </xf>
    <xf numFmtId="0" fontId="64" fillId="48" borderId="46" xfId="0" applyFont="1" applyFill="1" applyBorder="1" applyAlignment="1">
      <alignment horizontal="center" vertical="center"/>
    </xf>
    <xf numFmtId="0" fontId="64" fillId="48" borderId="43" xfId="0" applyFont="1" applyFill="1" applyBorder="1" applyAlignment="1">
      <alignment horizontal="center" vertical="center"/>
    </xf>
    <xf numFmtId="168" fontId="2" fillId="0" borderId="13" xfId="355" applyNumberFormat="1" applyBorder="1" applyAlignment="1" applyProtection="1">
      <alignment horizontal="center" vertical="center"/>
    </xf>
    <xf numFmtId="0" fontId="2" fillId="0" borderId="24" xfId="355" applyBorder="1" applyAlignment="1" applyProtection="1">
      <alignment horizontal="center" vertical="center"/>
    </xf>
    <xf numFmtId="0" fontId="2" fillId="0" borderId="20" xfId="355" applyBorder="1" applyAlignment="1" applyProtection="1">
      <alignment horizontal="center" vertical="center"/>
    </xf>
    <xf numFmtId="0" fontId="2" fillId="0" borderId="24" xfId="355" applyBorder="1" applyAlignment="1" applyProtection="1">
      <alignment horizontal="left" vertical="center"/>
    </xf>
    <xf numFmtId="0" fontId="2" fillId="0" borderId="20" xfId="355" applyBorder="1" applyAlignment="1" applyProtection="1">
      <alignment horizontal="left" vertical="center"/>
    </xf>
    <xf numFmtId="49" fontId="41" fillId="0" borderId="24" xfId="0" applyNumberFormat="1" applyFont="1" applyFill="1" applyBorder="1" applyAlignment="1" applyProtection="1">
      <alignment horizontal="left" vertical="center" wrapText="1"/>
    </xf>
    <xf numFmtId="49" fontId="41" fillId="0" borderId="101" xfId="0" applyNumberFormat="1" applyFont="1" applyFill="1" applyBorder="1" applyAlignment="1" applyProtection="1">
      <alignment horizontal="left" vertical="center" wrapText="1"/>
    </xf>
    <xf numFmtId="17" fontId="2" fillId="0" borderId="24" xfId="355" applyNumberFormat="1" applyBorder="1" applyAlignment="1" applyProtection="1">
      <alignment horizontal="left" vertical="center"/>
    </xf>
    <xf numFmtId="17" fontId="2" fillId="0" borderId="20" xfId="355" applyNumberFormat="1" applyBorder="1" applyAlignment="1" applyProtection="1">
      <alignment horizontal="left" vertical="center"/>
    </xf>
    <xf numFmtId="168" fontId="2" fillId="0" borderId="24" xfId="355" applyNumberFormat="1" applyBorder="1" applyAlignment="1" applyProtection="1">
      <alignment horizontal="center" vertical="center"/>
    </xf>
    <xf numFmtId="168" fontId="2" fillId="0" borderId="20" xfId="355" applyNumberFormat="1" applyBorder="1" applyAlignment="1" applyProtection="1">
      <alignment horizontal="center" vertical="center"/>
    </xf>
    <xf numFmtId="17" fontId="2" fillId="0" borderId="24" xfId="355" applyNumberFormat="1" applyBorder="1" applyAlignment="1" applyProtection="1">
      <alignment horizontal="center" vertical="center"/>
    </xf>
    <xf numFmtId="17" fontId="2" fillId="0" borderId="20" xfId="355" applyNumberFormat="1" applyBorder="1" applyAlignment="1" applyProtection="1">
      <alignment horizontal="center" vertical="center"/>
    </xf>
    <xf numFmtId="0" fontId="6" fillId="34" borderId="39" xfId="355" applyFont="1" applyFill="1" applyBorder="1" applyAlignment="1" applyProtection="1">
      <alignment horizontal="center" vertical="center" wrapText="1"/>
      <protection locked="0"/>
    </xf>
    <xf numFmtId="0" fontId="6" fillId="34" borderId="32" xfId="355" applyFont="1" applyFill="1" applyBorder="1" applyAlignment="1" applyProtection="1">
      <alignment horizontal="center" vertical="center" wrapText="1"/>
      <protection locked="0"/>
    </xf>
    <xf numFmtId="17" fontId="2" fillId="0" borderId="13" xfId="355" applyNumberFormat="1" applyBorder="1" applyAlignment="1" applyProtection="1">
      <alignment horizontal="center" vertical="center"/>
    </xf>
    <xf numFmtId="0" fontId="2" fillId="0" borderId="34" xfId="355" applyBorder="1" applyAlignment="1" applyProtection="1">
      <alignment horizontal="left" vertical="center"/>
      <protection locked="0"/>
    </xf>
    <xf numFmtId="0" fontId="2" fillId="0" borderId="11" xfId="355" applyBorder="1" applyAlignment="1" applyProtection="1">
      <alignment horizontal="left" vertical="center"/>
      <protection locked="0"/>
    </xf>
    <xf numFmtId="49" fontId="41" fillId="0" borderId="102" xfId="0" applyNumberFormat="1" applyFont="1" applyFill="1" applyBorder="1" applyAlignment="1" applyProtection="1">
      <alignment horizontal="left" vertical="center" wrapText="1"/>
    </xf>
    <xf numFmtId="49" fontId="41" fillId="0" borderId="102" xfId="0" applyNumberFormat="1" applyFont="1" applyFill="1" applyBorder="1" applyAlignment="1" applyProtection="1">
      <alignment horizontal="center" vertical="center" wrapText="1"/>
    </xf>
    <xf numFmtId="49" fontId="41" fillId="0" borderId="101" xfId="0" applyNumberFormat="1" applyFont="1" applyFill="1" applyBorder="1" applyAlignment="1" applyProtection="1">
      <alignment horizontal="center" vertical="center" wrapText="1"/>
    </xf>
    <xf numFmtId="168" fontId="2" fillId="0" borderId="24" xfId="355" applyNumberFormat="1" applyBorder="1" applyAlignment="1" applyProtection="1">
      <alignment horizontal="left" vertical="center"/>
    </xf>
    <xf numFmtId="168" fontId="2" fillId="0" borderId="20" xfId="355" applyNumberFormat="1" applyBorder="1" applyAlignment="1" applyProtection="1">
      <alignment horizontal="left" vertical="center"/>
    </xf>
    <xf numFmtId="0" fontId="36" fillId="0" borderId="92" xfId="355" applyFont="1" applyBorder="1" applyAlignment="1" applyProtection="1">
      <alignment horizontal="center" vertical="center" wrapText="1"/>
      <protection locked="0"/>
    </xf>
    <xf numFmtId="0" fontId="36" fillId="0" borderId="80" xfId="355" applyFont="1" applyBorder="1" applyAlignment="1" applyProtection="1">
      <alignment horizontal="center" vertical="center" wrapText="1"/>
      <protection locked="0"/>
    </xf>
    <xf numFmtId="0" fontId="36" fillId="0" borderId="81" xfId="355" applyFont="1" applyBorder="1" applyAlignment="1" applyProtection="1">
      <alignment horizontal="center" vertical="center" wrapText="1"/>
      <protection locked="0"/>
    </xf>
    <xf numFmtId="0" fontId="2" fillId="0" borderId="13" xfId="355" applyBorder="1" applyAlignment="1" applyProtection="1">
      <alignment horizontal="center" vertical="center" wrapText="1"/>
    </xf>
    <xf numFmtId="0" fontId="2" fillId="0" borderId="92" xfId="355" applyBorder="1" applyAlignment="1" applyProtection="1">
      <alignment horizontal="center" vertical="justify"/>
      <protection locked="0"/>
    </xf>
    <xf numFmtId="0" fontId="2" fillId="0" borderId="95" xfId="355" applyBorder="1" applyAlignment="1" applyProtection="1">
      <alignment horizontal="center" vertical="justify"/>
      <protection locked="0"/>
    </xf>
    <xf numFmtId="0" fontId="2" fillId="0" borderId="96" xfId="355" applyBorder="1" applyAlignment="1" applyProtection="1">
      <alignment horizontal="center" vertical="center"/>
      <protection locked="0"/>
    </xf>
    <xf numFmtId="0" fontId="2" fillId="0" borderId="94" xfId="355" applyBorder="1" applyAlignment="1" applyProtection="1">
      <alignment horizontal="center" vertical="center"/>
      <protection locked="0"/>
    </xf>
    <xf numFmtId="0" fontId="2" fillId="0" borderId="92" xfId="355" applyBorder="1" applyAlignment="1" applyProtection="1">
      <alignment horizontal="center" vertical="center" wrapText="1"/>
      <protection locked="0"/>
    </xf>
    <xf numFmtId="0" fontId="2" fillId="0" borderId="95" xfId="355" applyBorder="1" applyAlignment="1" applyProtection="1">
      <alignment horizontal="center" vertical="center" wrapText="1"/>
      <protection locked="0"/>
    </xf>
    <xf numFmtId="0" fontId="36" fillId="0" borderId="95" xfId="355" applyFont="1" applyBorder="1" applyAlignment="1" applyProtection="1">
      <alignment horizontal="center" vertical="center" wrapText="1"/>
      <protection locked="0"/>
    </xf>
    <xf numFmtId="0" fontId="2" fillId="0" borderId="87" xfId="355" applyBorder="1" applyAlignment="1" applyProtection="1">
      <alignment horizontal="center" vertical="center" wrapText="1"/>
    </xf>
    <xf numFmtId="0" fontId="2" fillId="0" borderId="83" xfId="355" applyBorder="1" applyAlignment="1" applyProtection="1">
      <alignment horizontal="center" vertical="center" wrapText="1"/>
    </xf>
    <xf numFmtId="0" fontId="36" fillId="0" borderId="79" xfId="355" applyFont="1" applyBorder="1" applyAlignment="1" applyProtection="1">
      <alignment horizontal="justify" vertical="center"/>
      <protection locked="0"/>
    </xf>
    <xf numFmtId="0" fontId="36" fillId="0" borderId="80" xfId="355" applyFont="1" applyBorder="1" applyAlignment="1" applyProtection="1">
      <alignment horizontal="justify" vertical="center"/>
      <protection locked="0"/>
    </xf>
    <xf numFmtId="0" fontId="36" fillId="0" borderId="90" xfId="355" applyFont="1" applyBorder="1" applyAlignment="1" applyProtection="1">
      <alignment horizontal="justify" vertical="center"/>
      <protection locked="0"/>
    </xf>
    <xf numFmtId="0" fontId="5" fillId="0" borderId="78" xfId="355" applyFont="1" applyBorder="1" applyAlignment="1" applyProtection="1">
      <alignment horizontal="center" vertical="center"/>
      <protection locked="0"/>
    </xf>
    <xf numFmtId="0" fontId="5" fillId="0" borderId="16" xfId="355" applyFont="1" applyBorder="1" applyAlignment="1" applyProtection="1">
      <alignment horizontal="center" vertical="center"/>
      <protection locked="0"/>
    </xf>
    <xf numFmtId="0" fontId="5" fillId="0" borderId="77" xfId="355" applyFont="1" applyBorder="1" applyAlignment="1" applyProtection="1">
      <alignment horizontal="center" vertical="center"/>
      <protection locked="0"/>
    </xf>
    <xf numFmtId="0" fontId="36" fillId="0" borderId="79" xfId="355" applyFont="1" applyBorder="1" applyAlignment="1" applyProtection="1">
      <alignment horizontal="center" vertical="center" wrapText="1"/>
      <protection locked="0"/>
    </xf>
    <xf numFmtId="0" fontId="6" fillId="31" borderId="52" xfId="355" applyFont="1" applyFill="1" applyBorder="1" applyAlignment="1" applyProtection="1">
      <alignment horizontal="center" vertical="center" wrapText="1"/>
    </xf>
    <xf numFmtId="0" fontId="6" fillId="31" borderId="0" xfId="355" applyFont="1" applyFill="1" applyBorder="1" applyAlignment="1" applyProtection="1">
      <alignment horizontal="center" vertical="center" wrapText="1"/>
    </xf>
    <xf numFmtId="0" fontId="6" fillId="31" borderId="29" xfId="355" applyFont="1" applyFill="1" applyBorder="1" applyAlignment="1" applyProtection="1">
      <alignment horizontal="center" vertical="center" wrapText="1"/>
    </xf>
    <xf numFmtId="0" fontId="5" fillId="0" borderId="13" xfId="355" applyFont="1" applyBorder="1" applyAlignment="1" applyProtection="1">
      <alignment horizontal="center" vertical="center"/>
      <protection locked="0"/>
    </xf>
    <xf numFmtId="0" fontId="120" fillId="45" borderId="0" xfId="355" applyFont="1" applyFill="1" applyAlignment="1" applyProtection="1">
      <alignment horizontal="center" vertical="center"/>
    </xf>
    <xf numFmtId="0" fontId="74" fillId="45" borderId="0" xfId="355" applyFont="1" applyFill="1" applyAlignment="1" applyProtection="1">
      <alignment horizontal="center" vertical="center"/>
    </xf>
    <xf numFmtId="0" fontId="7" fillId="32" borderId="0" xfId="355" applyFont="1" applyFill="1" applyAlignment="1" applyProtection="1">
      <alignment horizontal="center" vertical="center"/>
      <protection locked="0"/>
    </xf>
    <xf numFmtId="170" fontId="6" fillId="31" borderId="24" xfId="79" applyNumberFormat="1" applyFont="1" applyFill="1" applyBorder="1" applyAlignment="1" applyProtection="1">
      <alignment horizontal="center" vertical="center" wrapText="1"/>
    </xf>
    <xf numFmtId="170" fontId="6" fillId="31" borderId="36" xfId="79" applyNumberFormat="1" applyFont="1" applyFill="1" applyBorder="1" applyAlignment="1" applyProtection="1">
      <alignment horizontal="center" vertical="center" wrapText="1"/>
    </xf>
    <xf numFmtId="170" fontId="6" fillId="31" borderId="20" xfId="79" applyNumberFormat="1" applyFont="1" applyFill="1" applyBorder="1" applyAlignment="1" applyProtection="1">
      <alignment horizontal="center" vertical="center" wrapText="1"/>
    </xf>
    <xf numFmtId="0" fontId="115" fillId="0" borderId="31" xfId="0" applyFont="1" applyBorder="1" applyAlignment="1">
      <alignment horizontal="center" vertical="center" wrapText="1"/>
    </xf>
    <xf numFmtId="0" fontId="69" fillId="0" borderId="12" xfId="0" applyFont="1" applyBorder="1" applyAlignment="1">
      <alignment horizontal="center" vertical="center"/>
    </xf>
    <xf numFmtId="0" fontId="75" fillId="0" borderId="31"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2"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39" xfId="0" applyFont="1" applyBorder="1" applyAlignment="1">
      <alignment horizontal="center" vertical="center" wrapText="1"/>
    </xf>
    <xf numFmtId="0" fontId="75" fillId="0" borderId="52" xfId="0" applyFont="1" applyBorder="1" applyAlignment="1">
      <alignment horizontal="center" vertical="center" wrapText="1"/>
    </xf>
    <xf numFmtId="3" fontId="3" fillId="26" borderId="24" xfId="428" applyNumberFormat="1" applyFont="1" applyFill="1" applyBorder="1" applyAlignment="1">
      <alignment horizontal="center" vertical="center" wrapText="1"/>
    </xf>
    <xf numFmtId="3" fontId="3" fillId="26" borderId="36" xfId="428" applyNumberFormat="1" applyFont="1" applyFill="1" applyBorder="1" applyAlignment="1">
      <alignment horizontal="center" vertical="center" wrapText="1"/>
    </xf>
    <xf numFmtId="3" fontId="3" fillId="26" borderId="24" xfId="428" applyNumberFormat="1" applyFont="1" applyFill="1" applyBorder="1" applyAlignment="1">
      <alignment horizontal="left" vertical="center" wrapText="1"/>
    </xf>
    <xf numFmtId="3" fontId="3" fillId="26" borderId="36" xfId="428" applyNumberFormat="1" applyFont="1" applyFill="1" applyBorder="1" applyAlignment="1">
      <alignment horizontal="left" vertical="center" wrapText="1"/>
    </xf>
    <xf numFmtId="3" fontId="3" fillId="26" borderId="20" xfId="428" applyNumberFormat="1" applyFont="1" applyFill="1" applyBorder="1" applyAlignment="1">
      <alignment horizontal="left" vertical="center" wrapText="1"/>
    </xf>
    <xf numFmtId="0" fontId="85" fillId="0" borderId="30" xfId="0" applyFont="1" applyBorder="1" applyAlignment="1">
      <alignment horizontal="center" vertical="center" wrapText="1"/>
    </xf>
    <xf numFmtId="0" fontId="85" fillId="0" borderId="29" xfId="0" applyFont="1" applyBorder="1" applyAlignment="1">
      <alignment horizontal="center" vertical="center" wrapText="1"/>
    </xf>
    <xf numFmtId="0" fontId="85" fillId="0" borderId="32" xfId="0" applyFont="1" applyBorder="1" applyAlignment="1">
      <alignment horizontal="center" vertical="center" wrapText="1"/>
    </xf>
    <xf numFmtId="174" fontId="115" fillId="26" borderId="35" xfId="347" applyFont="1" applyFill="1" applyBorder="1" applyAlignment="1">
      <alignment horizontal="center" vertical="top" wrapText="1"/>
    </xf>
    <xf numFmtId="174" fontId="115" fillId="26" borderId="52" xfId="347" applyFont="1" applyFill="1" applyBorder="1" applyAlignment="1">
      <alignment horizontal="center" vertical="top" wrapText="1"/>
    </xf>
    <xf numFmtId="174" fontId="115" fillId="26" borderId="39" xfId="347" applyFont="1" applyFill="1" applyBorder="1" applyAlignment="1">
      <alignment horizontal="center" vertical="top" wrapText="1"/>
    </xf>
    <xf numFmtId="3" fontId="7" fillId="33" borderId="13" xfId="428" applyNumberFormat="1" applyFont="1" applyFill="1" applyBorder="1" applyAlignment="1">
      <alignment horizontal="center" vertical="center"/>
    </xf>
    <xf numFmtId="0" fontId="85" fillId="0" borderId="13" xfId="0" applyFont="1" applyBorder="1" applyAlignment="1">
      <alignment horizontal="center" vertical="center" wrapText="1"/>
    </xf>
    <xf numFmtId="3" fontId="3" fillId="26" borderId="20" xfId="428" applyNumberFormat="1" applyFont="1" applyFill="1" applyBorder="1" applyAlignment="1">
      <alignment horizontal="center" vertical="center" wrapText="1"/>
    </xf>
    <xf numFmtId="0" fontId="7" fillId="33" borderId="13" xfId="428" applyFont="1" applyFill="1" applyBorder="1" applyAlignment="1">
      <alignment horizontal="center" vertical="center"/>
    </xf>
    <xf numFmtId="0" fontId="72" fillId="0" borderId="30" xfId="0" applyFont="1" applyBorder="1" applyAlignment="1">
      <alignment horizontal="left" vertical="center" wrapText="1"/>
    </xf>
    <xf numFmtId="0" fontId="72" fillId="0" borderId="29" xfId="0" applyFont="1" applyBorder="1" applyAlignment="1">
      <alignment horizontal="left" vertical="center" wrapText="1"/>
    </xf>
    <xf numFmtId="0" fontId="72" fillId="0" borderId="32" xfId="0" applyFont="1" applyBorder="1" applyAlignment="1">
      <alignment horizontal="left" vertical="center" wrapText="1"/>
    </xf>
    <xf numFmtId="0" fontId="115" fillId="0" borderId="35" xfId="0" applyFont="1" applyBorder="1" applyAlignment="1">
      <alignment horizontal="center" vertical="center" wrapText="1"/>
    </xf>
    <xf numFmtId="0" fontId="115" fillId="0" borderId="52" xfId="0" applyFont="1" applyBorder="1" applyAlignment="1">
      <alignment horizontal="center" vertical="center" wrapText="1"/>
    </xf>
    <xf numFmtId="0" fontId="115" fillId="0" borderId="39" xfId="0" applyFont="1" applyBorder="1" applyAlignment="1">
      <alignment horizontal="center" vertical="center" wrapText="1"/>
    </xf>
    <xf numFmtId="0" fontId="6" fillId="31" borderId="42" xfId="355" applyFont="1" applyFill="1" applyBorder="1" applyAlignment="1" applyProtection="1">
      <alignment horizontal="center" vertical="center" wrapText="1"/>
    </xf>
    <xf numFmtId="0" fontId="119" fillId="0" borderId="50" xfId="0" applyFont="1" applyBorder="1" applyAlignment="1">
      <alignment horizontal="center" vertical="center"/>
    </xf>
    <xf numFmtId="0" fontId="72" fillId="26" borderId="30" xfId="0" applyFont="1" applyFill="1" applyBorder="1" applyAlignment="1">
      <alignment horizontal="center" vertical="center" wrapText="1"/>
    </xf>
    <xf numFmtId="0" fontId="72" fillId="26" borderId="32" xfId="0" applyFont="1" applyFill="1" applyBorder="1" applyAlignment="1">
      <alignment horizontal="center" vertical="center" wrapText="1"/>
    </xf>
    <xf numFmtId="167" fontId="2" fillId="26" borderId="37" xfId="355" applyNumberFormat="1" applyFont="1" applyFill="1" applyBorder="1" applyAlignment="1" applyProtection="1">
      <alignment horizontal="center" vertical="center"/>
    </xf>
    <xf numFmtId="0" fontId="2" fillId="26" borderId="53" xfId="355" applyFont="1" applyFill="1" applyBorder="1" applyAlignment="1" applyProtection="1">
      <alignment horizontal="center" vertical="center"/>
    </xf>
    <xf numFmtId="0" fontId="2" fillId="26" borderId="10" xfId="355" applyFont="1" applyFill="1" applyBorder="1" applyAlignment="1" applyProtection="1">
      <alignment horizontal="center" vertical="center"/>
    </xf>
    <xf numFmtId="0" fontId="2" fillId="26" borderId="37" xfId="355" applyFont="1" applyFill="1" applyBorder="1" applyAlignment="1" applyProtection="1">
      <alignment horizontal="center" vertical="center"/>
    </xf>
    <xf numFmtId="43" fontId="2" fillId="26" borderId="37" xfId="143" applyFont="1" applyFill="1" applyBorder="1" applyAlignment="1" applyProtection="1">
      <alignment horizontal="center" vertical="center"/>
    </xf>
    <xf numFmtId="43" fontId="2" fillId="26" borderId="53" xfId="143" applyFont="1" applyFill="1" applyBorder="1" applyAlignment="1" applyProtection="1">
      <alignment horizontal="center" vertical="center"/>
    </xf>
    <xf numFmtId="43" fontId="2" fillId="26" borderId="10" xfId="143" applyFont="1" applyFill="1" applyBorder="1" applyAlignment="1" applyProtection="1">
      <alignment horizontal="center" vertical="center"/>
    </xf>
    <xf numFmtId="0" fontId="2" fillId="36" borderId="37" xfId="355" applyFont="1" applyFill="1" applyBorder="1" applyAlignment="1" applyProtection="1">
      <alignment horizontal="center" vertical="center"/>
    </xf>
    <xf numFmtId="0" fontId="2" fillId="36" borderId="53" xfId="355" applyFont="1" applyFill="1" applyBorder="1" applyAlignment="1" applyProtection="1">
      <alignment horizontal="center" vertical="center"/>
    </xf>
    <xf numFmtId="0" fontId="2" fillId="36" borderId="10" xfId="355" applyFont="1" applyFill="1" applyBorder="1" applyAlignment="1" applyProtection="1">
      <alignment horizontal="center" vertical="center"/>
    </xf>
    <xf numFmtId="3" fontId="2" fillId="26" borderId="37" xfId="143" applyNumberFormat="1" applyFont="1" applyFill="1" applyBorder="1" applyAlignment="1" applyProtection="1">
      <alignment horizontal="center" vertical="center"/>
    </xf>
    <xf numFmtId="3" fontId="2" fillId="26" borderId="53" xfId="143" applyNumberFormat="1" applyFont="1" applyFill="1" applyBorder="1" applyAlignment="1" applyProtection="1">
      <alignment horizontal="center" vertical="center"/>
    </xf>
    <xf numFmtId="3" fontId="2" fillId="26" borderId="10" xfId="143" applyNumberFormat="1" applyFont="1" applyFill="1" applyBorder="1" applyAlignment="1" applyProtection="1">
      <alignment horizontal="center" vertical="center"/>
    </xf>
    <xf numFmtId="0" fontId="2" fillId="0" borderId="24" xfId="355" applyFont="1" applyBorder="1" applyAlignment="1" applyProtection="1">
      <alignment horizontal="center" vertical="center"/>
    </xf>
    <xf numFmtId="0" fontId="2" fillId="0" borderId="36" xfId="355" applyFont="1" applyBorder="1" applyAlignment="1" applyProtection="1">
      <alignment horizontal="center" vertical="center"/>
    </xf>
    <xf numFmtId="0" fontId="2" fillId="0" borderId="20" xfId="355" applyFont="1" applyBorder="1" applyAlignment="1" applyProtection="1">
      <alignment horizontal="center" vertical="center"/>
    </xf>
    <xf numFmtId="43" fontId="2" fillId="0" borderId="24" xfId="143" applyFont="1" applyBorder="1" applyAlignment="1" applyProtection="1">
      <alignment horizontal="center" vertical="center"/>
    </xf>
    <xf numFmtId="43" fontId="2" fillId="0" borderId="36" xfId="143" applyFont="1" applyBorder="1" applyAlignment="1" applyProtection="1">
      <alignment horizontal="center" vertical="center"/>
    </xf>
    <xf numFmtId="43" fontId="2" fillId="0" borderId="20" xfId="143" applyFont="1" applyBorder="1" applyAlignment="1" applyProtection="1">
      <alignment horizontal="center" vertical="center"/>
    </xf>
    <xf numFmtId="0" fontId="2" fillId="26" borderId="24" xfId="0" applyFont="1" applyFill="1" applyBorder="1" applyAlignment="1">
      <alignment horizontal="center" vertical="center" wrapText="1"/>
    </xf>
    <xf numFmtId="0" fontId="2" fillId="26" borderId="36" xfId="0" applyFont="1" applyFill="1" applyBorder="1" applyAlignment="1">
      <alignment horizontal="center" vertical="center" wrapText="1"/>
    </xf>
    <xf numFmtId="0" fontId="2" fillId="0" borderId="24" xfId="355" applyFont="1" applyBorder="1" applyAlignment="1" applyProtection="1">
      <alignment horizontal="center" vertical="center" wrapText="1"/>
    </xf>
    <xf numFmtId="0" fontId="2" fillId="0" borderId="36" xfId="355" applyFont="1" applyBorder="1" applyAlignment="1" applyProtection="1">
      <alignment horizontal="center" vertical="center" wrapText="1"/>
    </xf>
    <xf numFmtId="0" fontId="2" fillId="0" borderId="20" xfId="355" applyFont="1" applyBorder="1" applyAlignment="1" applyProtection="1">
      <alignment horizontal="center" vertical="center" wrapText="1"/>
    </xf>
    <xf numFmtId="3" fontId="121" fillId="0" borderId="24" xfId="0" applyNumberFormat="1" applyFont="1" applyBorder="1" applyAlignment="1">
      <alignment horizontal="center" vertical="center"/>
    </xf>
    <xf numFmtId="3" fontId="121" fillId="0" borderId="36" xfId="0" applyNumberFormat="1" applyFont="1" applyBorder="1" applyAlignment="1">
      <alignment horizontal="center" vertical="center"/>
    </xf>
    <xf numFmtId="3" fontId="121" fillId="0" borderId="20" xfId="0" applyNumberFormat="1" applyFont="1" applyBorder="1" applyAlignment="1">
      <alignment horizontal="center" vertical="center"/>
    </xf>
    <xf numFmtId="9" fontId="0" fillId="0" borderId="24" xfId="0" applyNumberFormat="1" applyBorder="1" applyAlignment="1">
      <alignment horizontal="center" vertical="center"/>
    </xf>
    <xf numFmtId="9" fontId="0" fillId="0" borderId="36" xfId="0" applyNumberFormat="1" applyBorder="1" applyAlignment="1">
      <alignment horizontal="center" vertical="center"/>
    </xf>
    <xf numFmtId="9" fontId="0" fillId="0" borderId="20" xfId="0" applyNumberFormat="1" applyBorder="1" applyAlignment="1">
      <alignment horizontal="center" vertical="center"/>
    </xf>
    <xf numFmtId="209" fontId="121" fillId="0" borderId="24" xfId="0" applyNumberFormat="1" applyFont="1" applyBorder="1" applyAlignment="1">
      <alignment horizontal="center" vertical="center"/>
    </xf>
    <xf numFmtId="209" fontId="121" fillId="0" borderId="36" xfId="0" applyNumberFormat="1" applyFont="1" applyBorder="1" applyAlignment="1">
      <alignment horizontal="center" vertical="center"/>
    </xf>
    <xf numFmtId="3" fontId="2" fillId="26" borderId="37" xfId="355" applyNumberFormat="1" applyFont="1" applyFill="1" applyBorder="1" applyAlignment="1" applyProtection="1">
      <alignment horizontal="center" vertical="center"/>
    </xf>
    <xf numFmtId="3" fontId="2" fillId="26" borderId="53" xfId="355" applyNumberFormat="1" applyFont="1" applyFill="1" applyBorder="1" applyAlignment="1" applyProtection="1">
      <alignment horizontal="center" vertical="center"/>
    </xf>
    <xf numFmtId="3" fontId="2" fillId="26" borderId="10" xfId="355" applyNumberFormat="1" applyFont="1" applyFill="1" applyBorder="1" applyAlignment="1" applyProtection="1">
      <alignment horizontal="center" vertical="center"/>
    </xf>
    <xf numFmtId="0" fontId="5" fillId="31" borderId="17" xfId="355" applyFont="1" applyFill="1" applyBorder="1" applyAlignment="1" applyProtection="1">
      <alignment horizontal="center" vertical="center" wrapText="1"/>
    </xf>
    <xf numFmtId="0" fontId="5" fillId="31" borderId="44" xfId="355" applyFont="1" applyFill="1" applyBorder="1" applyAlignment="1" applyProtection="1">
      <alignment horizontal="center" vertical="center" wrapText="1"/>
    </xf>
    <xf numFmtId="0" fontId="5" fillId="31" borderId="0" xfId="355" applyFont="1" applyFill="1" applyBorder="1" applyAlignment="1" applyProtection="1">
      <alignment horizontal="center" vertical="center" wrapText="1"/>
    </xf>
    <xf numFmtId="0" fontId="139" fillId="31" borderId="0" xfId="0" applyFont="1" applyFill="1" applyAlignment="1">
      <alignment horizontal="center" vertical="center"/>
    </xf>
    <xf numFmtId="0" fontId="5" fillId="34" borderId="17" xfId="355" applyFont="1" applyFill="1" applyBorder="1" applyAlignment="1" applyProtection="1">
      <alignment horizontal="center" vertical="center"/>
      <protection locked="0"/>
    </xf>
    <xf numFmtId="0" fontId="5" fillId="34" borderId="44" xfId="355" applyFont="1" applyFill="1" applyBorder="1" applyAlignment="1" applyProtection="1">
      <alignment horizontal="center" vertical="center" wrapText="1"/>
      <protection locked="0"/>
    </xf>
    <xf numFmtId="0" fontId="5" fillId="34" borderId="0" xfId="355" applyFont="1" applyFill="1" applyBorder="1" applyAlignment="1" applyProtection="1">
      <alignment horizontal="center" vertical="center" wrapText="1"/>
      <protection locked="0"/>
    </xf>
    <xf numFmtId="0" fontId="5" fillId="34" borderId="45" xfId="355" applyFont="1" applyFill="1" applyBorder="1" applyAlignment="1" applyProtection="1">
      <alignment horizontal="center" vertical="center" wrapText="1"/>
      <protection locked="0"/>
    </xf>
    <xf numFmtId="0" fontId="139" fillId="34" borderId="44" xfId="0" applyFont="1" applyFill="1" applyBorder="1" applyAlignment="1">
      <alignment horizontal="center" vertical="center" wrapText="1"/>
    </xf>
    <xf numFmtId="0" fontId="139" fillId="34" borderId="0" xfId="0" applyFont="1" applyFill="1" applyAlignment="1">
      <alignment horizontal="center" vertical="center"/>
    </xf>
    <xf numFmtId="0" fontId="2" fillId="26" borderId="13" xfId="0" applyFont="1" applyFill="1" applyBorder="1" applyAlignment="1">
      <alignment horizontal="center" vertical="center" wrapText="1"/>
    </xf>
    <xf numFmtId="0" fontId="2" fillId="26" borderId="20" xfId="0" applyFont="1" applyFill="1" applyBorder="1" applyAlignment="1">
      <alignment horizontal="center" vertical="center" wrapText="1"/>
    </xf>
    <xf numFmtId="167" fontId="0" fillId="0" borderId="52" xfId="79" applyFont="1" applyBorder="1" applyAlignment="1">
      <alignment horizontal="center"/>
    </xf>
    <xf numFmtId="0" fontId="69" fillId="26" borderId="24" xfId="0" applyFont="1" applyFill="1" applyBorder="1" applyAlignment="1">
      <alignment horizontal="center" vertical="justify" wrapText="1"/>
    </xf>
    <xf numFmtId="0" fontId="69" fillId="26" borderId="36" xfId="0" applyFont="1" applyFill="1" applyBorder="1" applyAlignment="1">
      <alignment horizontal="center" vertical="justify" wrapText="1"/>
    </xf>
    <xf numFmtId="0" fontId="69" fillId="26" borderId="20" xfId="0" applyFont="1" applyFill="1" applyBorder="1" applyAlignment="1">
      <alignment horizontal="center" vertical="justify" wrapText="1"/>
    </xf>
    <xf numFmtId="0" fontId="69" fillId="26" borderId="24" xfId="0" applyFont="1" applyFill="1" applyBorder="1" applyAlignment="1">
      <alignment horizontal="center" vertical="center" wrapText="1"/>
    </xf>
    <xf numFmtId="0" fontId="69" fillId="26" borderId="36" xfId="0" applyFont="1" applyFill="1" applyBorder="1" applyAlignment="1">
      <alignment horizontal="center" vertical="center" wrapText="1"/>
    </xf>
    <xf numFmtId="0" fontId="69" fillId="26" borderId="20" xfId="0" applyFont="1" applyFill="1" applyBorder="1" applyAlignment="1">
      <alignment horizontal="center" vertical="center" wrapText="1"/>
    </xf>
    <xf numFmtId="0" fontId="4" fillId="26" borderId="24" xfId="0" applyFont="1" applyFill="1" applyBorder="1" applyAlignment="1" applyProtection="1">
      <alignment horizontal="center" vertical="center" wrapText="1"/>
    </xf>
    <xf numFmtId="0" fontId="4" fillId="26" borderId="36" xfId="0" applyFont="1" applyFill="1" applyBorder="1" applyAlignment="1" applyProtection="1">
      <alignment horizontal="center" vertical="center" wrapText="1"/>
    </xf>
    <xf numFmtId="0" fontId="4" fillId="26" borderId="20" xfId="0" applyFont="1" applyFill="1" applyBorder="1" applyAlignment="1" applyProtection="1">
      <alignment horizontal="center" vertical="center" wrapText="1"/>
    </xf>
    <xf numFmtId="43" fontId="2" fillId="26" borderId="24" xfId="143" applyFont="1" applyFill="1" applyBorder="1" applyAlignment="1" applyProtection="1">
      <alignment horizontal="center" vertical="center"/>
    </xf>
    <xf numFmtId="43" fontId="2" fillId="26" borderId="36" xfId="143" applyFont="1" applyFill="1" applyBorder="1" applyAlignment="1" applyProtection="1">
      <alignment horizontal="center" vertical="center"/>
    </xf>
    <xf numFmtId="43" fontId="2" fillId="26" borderId="20" xfId="143" applyFont="1" applyFill="1" applyBorder="1" applyAlignment="1" applyProtection="1">
      <alignment horizontal="center" vertical="center"/>
    </xf>
    <xf numFmtId="0" fontId="4" fillId="26" borderId="24" xfId="0" applyFont="1" applyFill="1" applyBorder="1" applyAlignment="1" applyProtection="1">
      <alignment horizontal="left" vertical="center" wrapText="1"/>
    </xf>
    <xf numFmtId="0" fontId="4" fillId="26" borderId="36" xfId="0" applyFont="1" applyFill="1" applyBorder="1" applyAlignment="1" applyProtection="1">
      <alignment horizontal="left" vertical="center" wrapText="1"/>
    </xf>
    <xf numFmtId="0" fontId="4" fillId="26" borderId="20" xfId="0" applyFont="1" applyFill="1" applyBorder="1" applyAlignment="1" applyProtection="1">
      <alignment horizontal="left" vertical="center" wrapText="1"/>
    </xf>
    <xf numFmtId="0" fontId="70" fillId="31" borderId="54" xfId="0" applyFont="1" applyFill="1" applyBorder="1" applyAlignment="1">
      <alignment horizontal="center" vertical="center"/>
    </xf>
    <xf numFmtId="0" fontId="70" fillId="31" borderId="55" xfId="0" applyFont="1" applyFill="1" applyBorder="1" applyAlignment="1">
      <alignment horizontal="center" vertical="center"/>
    </xf>
    <xf numFmtId="0" fontId="70" fillId="34" borderId="56" xfId="0" applyFont="1" applyFill="1" applyBorder="1" applyAlignment="1">
      <alignment horizontal="center" vertical="center"/>
    </xf>
    <xf numFmtId="0" fontId="70" fillId="34" borderId="57" xfId="0" applyFont="1" applyFill="1" applyBorder="1" applyAlignment="1">
      <alignment horizontal="center" vertical="center"/>
    </xf>
    <xf numFmtId="0" fontId="4" fillId="26" borderId="24" xfId="355" applyFont="1" applyFill="1" applyBorder="1" applyAlignment="1" applyProtection="1">
      <alignment horizontal="center" vertical="center" wrapText="1"/>
    </xf>
    <xf numFmtId="0" fontId="4" fillId="26" borderId="36" xfId="355" applyFont="1" applyFill="1" applyBorder="1" applyAlignment="1" applyProtection="1">
      <alignment horizontal="center" vertical="center" wrapText="1"/>
    </xf>
    <xf numFmtId="0" fontId="4" fillId="26" borderId="20" xfId="355" applyFont="1" applyFill="1" applyBorder="1" applyAlignment="1" applyProtection="1">
      <alignment horizontal="center" vertical="center" wrapText="1"/>
    </xf>
    <xf numFmtId="0" fontId="42" fillId="26" borderId="24" xfId="0" applyFont="1" applyFill="1" applyBorder="1" applyAlignment="1" applyProtection="1">
      <alignment vertical="center" wrapText="1"/>
    </xf>
    <xf numFmtId="0" fontId="0" fillId="0" borderId="36" xfId="0" applyBorder="1" applyAlignment="1">
      <alignment vertical="center" wrapText="1"/>
    </xf>
    <xf numFmtId="0" fontId="0" fillId="0" borderId="20" xfId="0" applyBorder="1" applyAlignment="1">
      <alignment vertical="center" wrapText="1"/>
    </xf>
    <xf numFmtId="0" fontId="6" fillId="34" borderId="58" xfId="355" applyFont="1" applyFill="1" applyBorder="1" applyAlignment="1" applyProtection="1">
      <alignment horizontal="center" vertical="center" wrapText="1"/>
      <protection locked="0"/>
    </xf>
    <xf numFmtId="9" fontId="2" fillId="0" borderId="52" xfId="437" applyFont="1" applyBorder="1" applyAlignment="1" applyProtection="1">
      <alignment horizontal="center" vertical="center"/>
      <protection locked="0"/>
    </xf>
    <xf numFmtId="9" fontId="2" fillId="0" borderId="0" xfId="437" applyFont="1" applyAlignment="1" applyProtection="1">
      <alignment horizontal="center" vertical="center"/>
      <protection locked="0"/>
    </xf>
    <xf numFmtId="0" fontId="6" fillId="49" borderId="13" xfId="355" applyFont="1" applyFill="1" applyBorder="1" applyAlignment="1" applyProtection="1">
      <alignment horizontal="center" vertical="center"/>
      <protection locked="0"/>
    </xf>
    <xf numFmtId="0" fontId="7" fillId="31" borderId="0" xfId="355" applyFont="1" applyFill="1" applyAlignment="1" applyProtection="1">
      <alignment horizontal="center" vertical="center"/>
      <protection locked="0"/>
    </xf>
    <xf numFmtId="0" fontId="6" fillId="34" borderId="13" xfId="355" applyFont="1" applyFill="1" applyBorder="1" applyAlignment="1" applyProtection="1">
      <alignment horizontal="center" vertical="center" wrapText="1"/>
      <protection locked="0"/>
    </xf>
    <xf numFmtId="0" fontId="6" fillId="27" borderId="13" xfId="355" applyFont="1" applyFill="1" applyBorder="1" applyAlignment="1" applyProtection="1">
      <alignment horizontal="center" vertical="center"/>
      <protection locked="0"/>
    </xf>
    <xf numFmtId="0" fontId="120" fillId="45" borderId="62" xfId="355" applyFont="1" applyFill="1" applyBorder="1" applyAlignment="1" applyProtection="1">
      <alignment horizontal="center" vertical="center"/>
    </xf>
    <xf numFmtId="0" fontId="6" fillId="41" borderId="20" xfId="355" applyFont="1" applyFill="1" applyBorder="1" applyAlignment="1" applyProtection="1">
      <alignment horizontal="center" vertical="center"/>
      <protection locked="0"/>
    </xf>
    <xf numFmtId="0" fontId="74" fillId="45" borderId="29" xfId="355" applyFont="1" applyFill="1" applyBorder="1" applyAlignment="1" applyProtection="1">
      <alignment horizontal="center" vertical="center"/>
    </xf>
    <xf numFmtId="0" fontId="6" fillId="41" borderId="24" xfId="355" applyFont="1" applyFill="1" applyBorder="1" applyAlignment="1" applyProtection="1">
      <alignment horizontal="center" vertical="center"/>
      <protection locked="0"/>
    </xf>
    <xf numFmtId="0" fontId="6" fillId="41" borderId="36" xfId="355" applyFont="1" applyFill="1" applyBorder="1" applyAlignment="1" applyProtection="1">
      <alignment horizontal="center" vertical="center"/>
      <protection locked="0"/>
    </xf>
    <xf numFmtId="0" fontId="6" fillId="43" borderId="24" xfId="355" applyFont="1" applyFill="1" applyBorder="1" applyAlignment="1" applyProtection="1">
      <alignment horizontal="center" vertical="center"/>
      <protection locked="0"/>
    </xf>
    <xf numFmtId="0" fontId="6" fillId="43" borderId="36" xfId="355" applyFont="1" applyFill="1" applyBorder="1" applyAlignment="1" applyProtection="1">
      <alignment horizontal="center" vertical="center"/>
      <protection locked="0"/>
    </xf>
    <xf numFmtId="0" fontId="6" fillId="43" borderId="20" xfId="355" applyFont="1" applyFill="1" applyBorder="1" applyAlignment="1" applyProtection="1">
      <alignment horizontal="center" vertical="center"/>
      <protection locked="0"/>
    </xf>
    <xf numFmtId="0" fontId="2" fillId="26" borderId="35" xfId="355" applyFont="1" applyFill="1" applyBorder="1" applyAlignment="1" applyProtection="1">
      <alignment horizontal="center" vertical="center"/>
      <protection locked="0"/>
    </xf>
    <xf numFmtId="0" fontId="2" fillId="26" borderId="30" xfId="355" applyFont="1" applyFill="1" applyBorder="1" applyAlignment="1" applyProtection="1">
      <alignment horizontal="center" vertical="center"/>
      <protection locked="0"/>
    </xf>
    <xf numFmtId="0" fontId="2" fillId="26" borderId="39" xfId="355" applyFont="1" applyFill="1" applyBorder="1" applyAlignment="1" applyProtection="1">
      <alignment horizontal="center" vertical="center"/>
      <protection locked="0"/>
    </xf>
    <xf numFmtId="0" fontId="2" fillId="26" borderId="32" xfId="355" applyFont="1" applyFill="1" applyBorder="1" applyAlignment="1" applyProtection="1">
      <alignment horizontal="center" vertical="center"/>
      <protection locked="0"/>
    </xf>
    <xf numFmtId="0" fontId="4" fillId="26" borderId="35" xfId="355" applyFont="1" applyFill="1" applyBorder="1" applyAlignment="1" applyProtection="1">
      <alignment horizontal="center" vertical="center"/>
      <protection locked="0"/>
    </xf>
    <xf numFmtId="0" fontId="4" fillId="26" borderId="30" xfId="355" applyFont="1" applyFill="1" applyBorder="1" applyAlignment="1" applyProtection="1">
      <alignment horizontal="center" vertical="center"/>
      <protection locked="0"/>
    </xf>
    <xf numFmtId="0" fontId="4" fillId="26" borderId="39" xfId="355" applyFont="1" applyFill="1" applyBorder="1" applyAlignment="1" applyProtection="1">
      <alignment horizontal="center" vertical="center"/>
      <protection locked="0"/>
    </xf>
    <xf numFmtId="0" fontId="4" fillId="26" borderId="32" xfId="355" applyFont="1" applyFill="1" applyBorder="1" applyAlignment="1" applyProtection="1">
      <alignment horizontal="center" vertical="center"/>
      <protection locked="0"/>
    </xf>
    <xf numFmtId="0" fontId="7" fillId="49" borderId="13" xfId="355" applyFont="1" applyFill="1" applyBorder="1" applyAlignment="1" applyProtection="1">
      <alignment horizontal="center" vertical="center"/>
      <protection locked="0"/>
    </xf>
    <xf numFmtId="0" fontId="7" fillId="43" borderId="24" xfId="355" applyFont="1" applyFill="1" applyBorder="1" applyAlignment="1" applyProtection="1">
      <alignment horizontal="center" vertical="center"/>
      <protection locked="0"/>
    </xf>
    <xf numFmtId="0" fontId="7" fillId="43" borderId="36" xfId="355" applyFont="1" applyFill="1" applyBorder="1" applyAlignment="1" applyProtection="1">
      <alignment horizontal="center" vertical="center"/>
      <protection locked="0"/>
    </xf>
    <xf numFmtId="0" fontId="7" fillId="43" borderId="20" xfId="355" applyFont="1" applyFill="1" applyBorder="1" applyAlignment="1" applyProtection="1">
      <alignment horizontal="center" vertical="center"/>
      <protection locked="0"/>
    </xf>
    <xf numFmtId="0" fontId="5" fillId="0" borderId="24" xfId="355" applyFont="1" applyBorder="1" applyAlignment="1" applyProtection="1">
      <alignment vertical="center" wrapText="1"/>
    </xf>
    <xf numFmtId="0" fontId="64" fillId="0" borderId="36" xfId="0" applyFont="1" applyBorder="1" applyAlignment="1">
      <alignment vertical="center"/>
    </xf>
    <xf numFmtId="0" fontId="64" fillId="0" borderId="20" xfId="0" applyFont="1" applyBorder="1" applyAlignment="1">
      <alignment vertical="center"/>
    </xf>
    <xf numFmtId="0" fontId="71" fillId="26" borderId="13" xfId="0" applyFont="1" applyFill="1" applyBorder="1" applyAlignment="1">
      <alignment horizontal="justify" vertical="center"/>
    </xf>
    <xf numFmtId="0" fontId="0" fillId="26" borderId="13" xfId="0" applyFont="1" applyFill="1" applyBorder="1" applyAlignment="1">
      <alignment vertical="center"/>
    </xf>
    <xf numFmtId="0" fontId="2" fillId="41" borderId="24" xfId="355" applyFill="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2" fillId="41" borderId="36" xfId="355" applyFill="1" applyBorder="1" applyAlignment="1" applyProtection="1">
      <alignment horizontal="center" vertical="center" wrapText="1"/>
      <protection locked="0"/>
    </xf>
    <xf numFmtId="0" fontId="2" fillId="41" borderId="20" xfId="355" applyFill="1" applyBorder="1" applyAlignment="1" applyProtection="1">
      <alignment horizontal="center" vertical="center" wrapText="1"/>
      <protection locked="0"/>
    </xf>
    <xf numFmtId="0" fontId="5" fillId="0" borderId="63" xfId="0" applyFont="1" applyBorder="1" applyAlignment="1" applyProtection="1">
      <alignment horizontal="justify" vertical="center" wrapText="1"/>
    </xf>
    <xf numFmtId="0" fontId="64" fillId="0" borderId="65" xfId="0" applyFont="1" applyBorder="1" applyAlignment="1">
      <alignment horizontal="justify" vertical="center" wrapText="1"/>
    </xf>
    <xf numFmtId="0" fontId="64" fillId="0" borderId="66" xfId="0" applyFont="1" applyBorder="1" applyAlignment="1">
      <alignment horizontal="justify" vertical="center" wrapText="1"/>
    </xf>
    <xf numFmtId="0" fontId="0" fillId="26" borderId="24" xfId="0" applyFont="1" applyFill="1" applyBorder="1" applyAlignment="1" applyProtection="1">
      <alignment vertical="center" wrapText="1"/>
      <protection locked="0"/>
    </xf>
    <xf numFmtId="0" fontId="0" fillId="26" borderId="36" xfId="0" applyFill="1" applyBorder="1" applyAlignment="1">
      <alignment vertical="center" wrapText="1"/>
    </xf>
    <xf numFmtId="0" fontId="0" fillId="26" borderId="20" xfId="0" applyFill="1" applyBorder="1" applyAlignment="1">
      <alignment vertical="center" wrapText="1"/>
    </xf>
    <xf numFmtId="0" fontId="2" fillId="41" borderId="24" xfId="355" applyFill="1" applyBorder="1" applyAlignment="1" applyProtection="1">
      <alignment vertical="center" wrapText="1"/>
      <protection locked="0"/>
    </xf>
    <xf numFmtId="0" fontId="120" fillId="45" borderId="30" xfId="355" applyFont="1" applyFill="1" applyBorder="1" applyAlignment="1" applyProtection="1">
      <alignment horizontal="center" vertical="center"/>
    </xf>
    <xf numFmtId="0" fontId="67" fillId="41" borderId="35" xfId="355" applyFont="1" applyFill="1" applyBorder="1" applyAlignment="1" applyProtection="1">
      <alignment horizontal="center" vertical="center"/>
      <protection locked="0"/>
    </xf>
    <xf numFmtId="0" fontId="67" fillId="41" borderId="30" xfId="355" applyFont="1" applyFill="1" applyBorder="1" applyAlignment="1" applyProtection="1">
      <alignment horizontal="center" vertical="center"/>
      <protection locked="0"/>
    </xf>
    <xf numFmtId="0" fontId="67" fillId="41" borderId="39" xfId="355" applyFont="1" applyFill="1" applyBorder="1" applyAlignment="1" applyProtection="1">
      <alignment horizontal="center" vertical="center"/>
      <protection locked="0"/>
    </xf>
    <xf numFmtId="0" fontId="67" fillId="41" borderId="32" xfId="355" applyFont="1" applyFill="1" applyBorder="1" applyAlignment="1" applyProtection="1">
      <alignment horizontal="center" vertical="center"/>
      <protection locked="0"/>
    </xf>
    <xf numFmtId="0" fontId="5" fillId="0" borderId="63" xfId="355" applyFont="1" applyBorder="1" applyAlignment="1" applyProtection="1">
      <alignment vertical="center" wrapText="1"/>
    </xf>
    <xf numFmtId="0" fontId="64" fillId="0" borderId="65" xfId="0" applyFont="1" applyBorder="1" applyAlignment="1">
      <alignment vertical="center" wrapText="1"/>
    </xf>
    <xf numFmtId="0" fontId="64" fillId="0" borderId="66" xfId="0" applyFont="1" applyBorder="1" applyAlignment="1">
      <alignment vertical="center" wrapText="1"/>
    </xf>
    <xf numFmtId="0" fontId="69" fillId="26" borderId="24" xfId="0" applyFont="1" applyFill="1" applyBorder="1" applyAlignment="1" applyProtection="1">
      <alignment vertical="center" wrapText="1"/>
      <protection locked="0"/>
    </xf>
    <xf numFmtId="0" fontId="6" fillId="41" borderId="13" xfId="355" applyFont="1" applyFill="1" applyBorder="1" applyAlignment="1" applyProtection="1">
      <alignment horizontal="center" vertical="center"/>
      <protection locked="0"/>
    </xf>
    <xf numFmtId="0" fontId="85" fillId="31" borderId="13" xfId="355" applyFont="1" applyFill="1" applyBorder="1" applyAlignment="1" applyProtection="1">
      <alignment horizontal="center" vertical="center" wrapText="1"/>
    </xf>
    <xf numFmtId="0" fontId="85" fillId="31" borderId="16" xfId="355" applyFont="1" applyFill="1" applyBorder="1" applyAlignment="1" applyProtection="1">
      <alignment horizontal="center" vertical="center" wrapText="1"/>
    </xf>
    <xf numFmtId="0" fontId="64" fillId="43" borderId="13" xfId="0" applyFont="1" applyFill="1" applyBorder="1" applyAlignment="1">
      <alignment horizontal="center" vertical="center"/>
    </xf>
    <xf numFmtId="0" fontId="85" fillId="26" borderId="39" xfId="355" applyFont="1" applyFill="1" applyBorder="1" applyAlignment="1" applyProtection="1">
      <alignment horizontal="center" vertical="center"/>
      <protection locked="0"/>
    </xf>
    <xf numFmtId="0" fontId="85" fillId="26" borderId="58" xfId="355" applyFont="1" applyFill="1" applyBorder="1" applyAlignment="1" applyProtection="1">
      <alignment horizontal="center" vertical="center"/>
      <protection locked="0"/>
    </xf>
    <xf numFmtId="0" fontId="85" fillId="31" borderId="13" xfId="355" applyFont="1" applyFill="1" applyBorder="1" applyAlignment="1" applyProtection="1">
      <alignment horizontal="left" vertical="center" wrapText="1"/>
    </xf>
    <xf numFmtId="3" fontId="85" fillId="31" borderId="13" xfId="355" applyNumberFormat="1" applyFont="1" applyFill="1" applyBorder="1" applyAlignment="1" applyProtection="1">
      <alignment horizontal="center" vertical="center" wrapText="1"/>
    </xf>
    <xf numFmtId="0" fontId="90" fillId="31" borderId="13" xfId="355" applyFont="1" applyFill="1" applyBorder="1" applyAlignment="1" applyProtection="1">
      <alignment horizontal="center" vertical="center" wrapText="1"/>
    </xf>
    <xf numFmtId="0" fontId="85" fillId="34" borderId="13" xfId="355" applyFont="1" applyFill="1" applyBorder="1" applyAlignment="1" applyProtection="1">
      <alignment horizontal="center" vertical="center"/>
      <protection locked="0"/>
    </xf>
    <xf numFmtId="0" fontId="85" fillId="34" borderId="13" xfId="355" applyFont="1" applyFill="1" applyBorder="1" applyAlignment="1" applyProtection="1">
      <alignment horizontal="center" vertical="center" wrapText="1"/>
      <protection locked="0"/>
    </xf>
    <xf numFmtId="0" fontId="85" fillId="34" borderId="16" xfId="355" applyFont="1" applyFill="1" applyBorder="1" applyAlignment="1" applyProtection="1">
      <alignment horizontal="center" vertical="center" wrapText="1"/>
      <protection locked="0"/>
    </xf>
    <xf numFmtId="0" fontId="132" fillId="31" borderId="13" xfId="355" applyFont="1" applyFill="1" applyBorder="1" applyAlignment="1" applyProtection="1">
      <alignment horizontal="center" vertical="center" wrapText="1"/>
    </xf>
    <xf numFmtId="0" fontId="132" fillId="31" borderId="16" xfId="355" applyFont="1" applyFill="1" applyBorder="1" applyAlignment="1" applyProtection="1">
      <alignment horizontal="center" vertical="center" wrapText="1"/>
    </xf>
    <xf numFmtId="0" fontId="132" fillId="31" borderId="35" xfId="355" applyFont="1" applyFill="1" applyBorder="1" applyAlignment="1" applyProtection="1">
      <alignment horizontal="center" vertical="center" wrapText="1"/>
    </xf>
    <xf numFmtId="0" fontId="132" fillId="31" borderId="30" xfId="355" applyFont="1" applyFill="1" applyBorder="1" applyAlignment="1" applyProtection="1">
      <alignment horizontal="center" vertical="center" wrapText="1"/>
    </xf>
    <xf numFmtId="0" fontId="6" fillId="63" borderId="36" xfId="0" applyFont="1" applyFill="1" applyBorder="1" applyAlignment="1" applyProtection="1">
      <alignment horizontal="center" vertical="center" wrapText="1"/>
    </xf>
    <xf numFmtId="0" fontId="6" fillId="63" borderId="20" xfId="0" applyFont="1" applyFill="1" applyBorder="1" applyAlignment="1" applyProtection="1">
      <alignment horizontal="center" vertical="center" wrapText="1"/>
    </xf>
    <xf numFmtId="0" fontId="6" fillId="63" borderId="106" xfId="0" applyFont="1" applyFill="1" applyBorder="1" applyAlignment="1" applyProtection="1">
      <alignment horizontal="center" vertical="center" wrapText="1"/>
    </xf>
    <xf numFmtId="0" fontId="6" fillId="61" borderId="106" xfId="0" applyFont="1" applyFill="1" applyBorder="1" applyAlignment="1" applyProtection="1">
      <alignment horizontal="center" vertical="justify" wrapText="1"/>
    </xf>
    <xf numFmtId="0" fontId="6" fillId="61" borderId="36" xfId="0" applyFont="1" applyFill="1" applyBorder="1" applyAlignment="1" applyProtection="1">
      <alignment horizontal="center" vertical="justify" wrapText="1"/>
    </xf>
    <xf numFmtId="2" fontId="6" fillId="61" borderId="106" xfId="0" applyNumberFormat="1" applyFont="1" applyFill="1" applyBorder="1" applyAlignment="1" applyProtection="1">
      <alignment horizontal="center" vertical="center"/>
    </xf>
    <xf numFmtId="2" fontId="6" fillId="61" borderId="36" xfId="0" applyNumberFormat="1" applyFont="1" applyFill="1" applyBorder="1" applyAlignment="1" applyProtection="1">
      <alignment horizontal="center" vertical="center"/>
    </xf>
    <xf numFmtId="4" fontId="6" fillId="61" borderId="106" xfId="0" applyNumberFormat="1" applyFont="1" applyFill="1" applyBorder="1" applyAlignment="1" applyProtection="1">
      <alignment horizontal="center" vertical="center" wrapText="1"/>
    </xf>
    <xf numFmtId="4" fontId="6" fillId="61" borderId="36" xfId="0" applyNumberFormat="1" applyFont="1" applyFill="1" applyBorder="1" applyAlignment="1" applyProtection="1">
      <alignment horizontal="center" vertical="center" wrapText="1"/>
    </xf>
    <xf numFmtId="0" fontId="0" fillId="62" borderId="52" xfId="0" applyFill="1" applyBorder="1" applyAlignment="1">
      <alignment horizontal="center" vertical="center" wrapText="1"/>
    </xf>
    <xf numFmtId="0" fontId="0" fillId="62" borderId="29" xfId="0" applyFill="1" applyBorder="1" applyAlignment="1">
      <alignment horizontal="center" vertical="center" wrapText="1"/>
    </xf>
    <xf numFmtId="49" fontId="6" fillId="61" borderId="105" xfId="0" applyNumberFormat="1" applyFont="1" applyFill="1" applyBorder="1" applyAlignment="1" applyProtection="1">
      <alignment horizontal="center" vertical="center"/>
    </xf>
    <xf numFmtId="49" fontId="6" fillId="61" borderId="29" xfId="0" applyNumberFormat="1" applyFont="1" applyFill="1" applyBorder="1" applyAlignment="1" applyProtection="1">
      <alignment horizontal="center" vertical="center"/>
    </xf>
    <xf numFmtId="49" fontId="6" fillId="61" borderId="32" xfId="0" applyNumberFormat="1" applyFont="1" applyFill="1" applyBorder="1" applyAlignment="1" applyProtection="1">
      <alignment horizontal="center" vertical="center"/>
    </xf>
    <xf numFmtId="49" fontId="6" fillId="61" borderId="106" xfId="0" applyNumberFormat="1" applyFont="1" applyFill="1" applyBorder="1" applyAlignment="1" applyProtection="1">
      <alignment horizontal="center" vertical="center"/>
    </xf>
    <xf numFmtId="49" fontId="6" fillId="61" borderId="36" xfId="0" applyNumberFormat="1" applyFont="1" applyFill="1" applyBorder="1" applyAlignment="1" applyProtection="1">
      <alignment horizontal="center" vertical="center"/>
    </xf>
    <xf numFmtId="0" fontId="6" fillId="61" borderId="106" xfId="0" applyNumberFormat="1" applyFont="1" applyFill="1" applyBorder="1" applyAlignment="1" applyProtection="1">
      <alignment horizontal="center" vertical="center"/>
    </xf>
    <xf numFmtId="0" fontId="6" fillId="61" borderId="36" xfId="0" applyNumberFormat="1" applyFont="1" applyFill="1" applyBorder="1" applyAlignment="1" applyProtection="1">
      <alignment horizontal="center" vertical="center"/>
    </xf>
    <xf numFmtId="49" fontId="6" fillId="61" borderId="106" xfId="0" applyNumberFormat="1" applyFont="1" applyFill="1" applyBorder="1" applyAlignment="1" applyProtection="1">
      <alignment horizontal="center" vertical="center" wrapText="1"/>
    </xf>
    <xf numFmtId="49" fontId="6" fillId="61" borderId="36" xfId="0" applyNumberFormat="1" applyFont="1" applyFill="1" applyBorder="1" applyAlignment="1" applyProtection="1">
      <alignment horizontal="center" vertical="center" wrapText="1"/>
    </xf>
    <xf numFmtId="0" fontId="6" fillId="61" borderId="106" xfId="0" applyFont="1" applyFill="1" applyBorder="1" applyAlignment="1" applyProtection="1">
      <alignment horizontal="center" vertical="center" wrapText="1"/>
    </xf>
    <xf numFmtId="0" fontId="6" fillId="61" borderId="36" xfId="0"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protection locked="0"/>
    </xf>
    <xf numFmtId="0" fontId="2" fillId="45" borderId="0" xfId="355" applyFill="1" applyAlignment="1" applyProtection="1">
      <alignment horizontal="center" vertical="center"/>
      <protection locked="0"/>
    </xf>
    <xf numFmtId="0" fontId="7" fillId="32" borderId="13" xfId="355" applyFont="1" applyFill="1" applyBorder="1" applyAlignment="1" applyProtection="1">
      <alignment horizontal="center" vertical="center"/>
      <protection locked="0"/>
    </xf>
    <xf numFmtId="0" fontId="6" fillId="31" borderId="74" xfId="355" applyFont="1" applyFill="1" applyBorder="1" applyAlignment="1" applyProtection="1">
      <alignment horizontal="center" vertical="center" wrapText="1"/>
    </xf>
    <xf numFmtId="0" fontId="6" fillId="31" borderId="48" xfId="355" applyFont="1" applyFill="1" applyBorder="1" applyAlignment="1" applyProtection="1">
      <alignment horizontal="center" vertical="center" wrapText="1"/>
    </xf>
    <xf numFmtId="0" fontId="6" fillId="31" borderId="51" xfId="355" applyFont="1" applyFill="1" applyBorder="1" applyAlignment="1" applyProtection="1">
      <alignment horizontal="center" vertical="center" wrapText="1"/>
    </xf>
    <xf numFmtId="0" fontId="6" fillId="31" borderId="46" xfId="355" applyFont="1" applyFill="1" applyBorder="1" applyAlignment="1" applyProtection="1">
      <alignment horizontal="center" vertical="center" wrapText="1"/>
    </xf>
    <xf numFmtId="0" fontId="6" fillId="34" borderId="23" xfId="355" applyFont="1" applyFill="1" applyBorder="1" applyAlignment="1" applyProtection="1">
      <alignment horizontal="center" vertical="center"/>
      <protection locked="0"/>
    </xf>
    <xf numFmtId="0" fontId="6" fillId="34" borderId="46" xfId="355" applyFont="1" applyFill="1" applyBorder="1" applyAlignment="1" applyProtection="1">
      <alignment horizontal="center" vertical="center"/>
      <protection locked="0"/>
    </xf>
    <xf numFmtId="0" fontId="6" fillId="34" borderId="46" xfId="355" applyFont="1" applyFill="1" applyBorder="1" applyAlignment="1" applyProtection="1">
      <alignment horizontal="center" vertical="center" wrapText="1"/>
      <protection locked="0"/>
    </xf>
    <xf numFmtId="0" fontId="65" fillId="45" borderId="13" xfId="355" applyFont="1" applyFill="1" applyBorder="1" applyAlignment="1" applyProtection="1">
      <alignment horizontal="center" vertical="center"/>
    </xf>
    <xf numFmtId="171" fontId="6" fillId="31" borderId="13" xfId="212" applyNumberFormat="1" applyFont="1" applyFill="1" applyBorder="1" applyAlignment="1" applyProtection="1">
      <alignment horizontal="center" vertical="center" wrapText="1"/>
    </xf>
    <xf numFmtId="0" fontId="6" fillId="27" borderId="13" xfId="355" applyFont="1" applyFill="1" applyBorder="1" applyAlignment="1" applyProtection="1">
      <alignment horizontal="center" vertical="center" wrapText="1"/>
      <protection locked="0"/>
    </xf>
    <xf numFmtId="0" fontId="6" fillId="34" borderId="13" xfId="355" applyFont="1" applyFill="1" applyBorder="1" applyAlignment="1" applyProtection="1">
      <alignment horizontal="center" vertical="center"/>
      <protection locked="0"/>
    </xf>
    <xf numFmtId="170" fontId="69" fillId="0" borderId="13" xfId="79" applyNumberFormat="1" applyFont="1" applyFill="1" applyBorder="1" applyAlignment="1">
      <alignment horizontal="center" vertical="center" wrapText="1"/>
    </xf>
    <xf numFmtId="171" fontId="69" fillId="26" borderId="13" xfId="212" applyNumberFormat="1" applyFont="1" applyFill="1" applyBorder="1" applyAlignment="1">
      <alignment horizontal="center" vertical="center"/>
    </xf>
    <xf numFmtId="0" fontId="69" fillId="0" borderId="13" xfId="0" applyFont="1" applyFill="1" applyBorder="1" applyAlignment="1">
      <alignment horizontal="center" vertical="center" wrapText="1"/>
    </xf>
    <xf numFmtId="170" fontId="69" fillId="0" borderId="13" xfId="79" applyNumberFormat="1" applyFont="1" applyFill="1" applyBorder="1" applyAlignment="1">
      <alignment horizontal="center" vertical="center"/>
    </xf>
    <xf numFmtId="0" fontId="70" fillId="59"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9" fillId="0" borderId="13" xfId="0" applyFont="1" applyBorder="1" applyAlignment="1">
      <alignment horizontal="center" vertical="center" wrapText="1"/>
    </xf>
    <xf numFmtId="171" fontId="3" fillId="26" borderId="13" xfId="212" applyNumberFormat="1" applyFont="1" applyFill="1" applyBorder="1" applyAlignment="1">
      <alignment horizontal="center" vertical="center"/>
    </xf>
    <xf numFmtId="0" fontId="69" fillId="26" borderId="13" xfId="0" applyFont="1" applyFill="1" applyBorder="1" applyAlignment="1">
      <alignment horizontal="center" vertical="center" wrapText="1"/>
    </xf>
    <xf numFmtId="0" fontId="6" fillId="59" borderId="13" xfId="0" applyFont="1" applyFill="1" applyBorder="1" applyAlignment="1">
      <alignment horizontal="center" vertical="center" wrapText="1"/>
    </xf>
    <xf numFmtId="0" fontId="65" fillId="45" borderId="42" xfId="355" applyFont="1" applyFill="1" applyBorder="1" applyAlignment="1" applyProtection="1">
      <alignment horizontal="center" vertical="center"/>
    </xf>
    <xf numFmtId="0" fontId="65" fillId="45" borderId="103" xfId="355" applyFont="1" applyFill="1" applyBorder="1" applyAlignment="1" applyProtection="1">
      <alignment horizontal="center" vertical="center"/>
    </xf>
    <xf numFmtId="0" fontId="65" fillId="45" borderId="43" xfId="355" applyFont="1" applyFill="1" applyBorder="1" applyAlignment="1" applyProtection="1">
      <alignment horizontal="center" vertical="center"/>
    </xf>
    <xf numFmtId="0" fontId="65" fillId="45" borderId="44" xfId="355" applyFont="1" applyFill="1" applyBorder="1" applyAlignment="1" applyProtection="1">
      <alignment horizontal="center" vertical="center"/>
    </xf>
    <xf numFmtId="0" fontId="65" fillId="45" borderId="0" xfId="355" applyFont="1" applyFill="1" applyBorder="1" applyAlignment="1" applyProtection="1">
      <alignment horizontal="center" vertical="center"/>
    </xf>
    <xf numFmtId="0" fontId="65" fillId="45" borderId="45" xfId="355" applyFont="1" applyFill="1" applyBorder="1" applyAlignment="1" applyProtection="1">
      <alignment horizontal="center" vertical="center"/>
    </xf>
    <xf numFmtId="0" fontId="6" fillId="31" borderId="37" xfId="355" applyFont="1" applyFill="1" applyBorder="1" applyAlignment="1" applyProtection="1">
      <alignment horizontal="center" vertical="center" wrapText="1"/>
    </xf>
    <xf numFmtId="0" fontId="6" fillId="31" borderId="53" xfId="355" applyFont="1" applyFill="1" applyBorder="1" applyAlignment="1" applyProtection="1">
      <alignment horizontal="center" vertical="center" wrapText="1"/>
    </xf>
    <xf numFmtId="0" fontId="6" fillId="31" borderId="36" xfId="355" applyFont="1" applyFill="1" applyBorder="1" applyAlignment="1" applyProtection="1">
      <alignment horizontal="center" vertical="center" wrapText="1"/>
    </xf>
    <xf numFmtId="171" fontId="6" fillId="31" borderId="24" xfId="212" applyNumberFormat="1" applyFont="1" applyFill="1" applyBorder="1" applyAlignment="1" applyProtection="1">
      <alignment horizontal="center" vertical="center" wrapText="1"/>
    </xf>
    <xf numFmtId="171" fontId="6" fillId="31" borderId="36" xfId="212" applyNumberFormat="1" applyFont="1" applyFill="1" applyBorder="1" applyAlignment="1" applyProtection="1">
      <alignment horizontal="center" vertical="center" wrapText="1"/>
    </xf>
    <xf numFmtId="0" fontId="6" fillId="27" borderId="35" xfId="355" applyFont="1" applyFill="1" applyBorder="1" applyAlignment="1" applyProtection="1">
      <alignment horizontal="center" vertical="center" wrapText="1"/>
      <protection locked="0"/>
    </xf>
    <xf numFmtId="0" fontId="6" fillId="27" borderId="14" xfId="355" applyFont="1" applyFill="1" applyBorder="1" applyAlignment="1" applyProtection="1">
      <alignment horizontal="center" vertical="center" wrapText="1"/>
      <protection locked="0"/>
    </xf>
    <xf numFmtId="0" fontId="6" fillId="27" borderId="52" xfId="355" applyFont="1" applyFill="1" applyBorder="1" applyAlignment="1" applyProtection="1">
      <alignment horizontal="center" vertical="center" wrapText="1"/>
      <protection locked="0"/>
    </xf>
    <xf numFmtId="0" fontId="6" fillId="27" borderId="45" xfId="355" applyFont="1" applyFill="1" applyBorder="1" applyAlignment="1" applyProtection="1">
      <alignment horizontal="center" vertical="center" wrapText="1"/>
      <protection locked="0"/>
    </xf>
    <xf numFmtId="0" fontId="6" fillId="27" borderId="39" xfId="355" applyFont="1" applyFill="1" applyBorder="1" applyAlignment="1" applyProtection="1">
      <alignment horizontal="center" vertical="center" wrapText="1"/>
      <protection locked="0"/>
    </xf>
    <xf numFmtId="0" fontId="6" fillId="27" borderId="104" xfId="355" applyFont="1" applyFill="1" applyBorder="1" applyAlignment="1" applyProtection="1">
      <alignment horizontal="center" vertical="center" wrapText="1"/>
      <protection locked="0"/>
    </xf>
  </cellXfs>
  <cellStyles count="683">
    <cellStyle name="20% - Énfasis1 2" xfId="1"/>
    <cellStyle name="20% - Énfasis1 3" xfId="2"/>
    <cellStyle name="20% - Énfasis1 4" xfId="3"/>
    <cellStyle name="20% - Énfasis2 2" xfId="4"/>
    <cellStyle name="20% - Énfasis2 3" xfId="5"/>
    <cellStyle name="20% - Énfasis2 4" xfId="6"/>
    <cellStyle name="20% - Énfasis3 2" xfId="7"/>
    <cellStyle name="20% - Énfasis3 3" xfId="8"/>
    <cellStyle name="20% - Énfasis3 4" xfId="9"/>
    <cellStyle name="20% - Énfasis4 2" xfId="10"/>
    <cellStyle name="20% - Énfasis4 3" xfId="11"/>
    <cellStyle name="20% - Énfasis4 4" xfId="12"/>
    <cellStyle name="20% - Énfasis5 2" xfId="13"/>
    <cellStyle name="20% - Énfasis5 3" xfId="14"/>
    <cellStyle name="20% - Énfasis5 4" xfId="15"/>
    <cellStyle name="20% - Énfasis6 2" xfId="16"/>
    <cellStyle name="20% - Énfasis6 3" xfId="17"/>
    <cellStyle name="20% - Énfasis6 4" xfId="18"/>
    <cellStyle name="40% - Énfasis1 2" xfId="19"/>
    <cellStyle name="40% - Énfasis1 3" xfId="20"/>
    <cellStyle name="40% - Énfasis1 4" xfId="21"/>
    <cellStyle name="40% - Énfasis2 2" xfId="22"/>
    <cellStyle name="40% - Énfasis2 3" xfId="23"/>
    <cellStyle name="40% - Énfasis2 4" xfId="24"/>
    <cellStyle name="40% - Énfasis3 2" xfId="25"/>
    <cellStyle name="40% - Énfasis3 3" xfId="26"/>
    <cellStyle name="40% - Énfasis3 4" xfId="27"/>
    <cellStyle name="40% - Énfasis4 2" xfId="28"/>
    <cellStyle name="40% - Énfasis4 3" xfId="29"/>
    <cellStyle name="40% - Énfasis4 4" xfId="30"/>
    <cellStyle name="40% - Énfasis5 2" xfId="31"/>
    <cellStyle name="40% - Énfasis5 3" xfId="32"/>
    <cellStyle name="40% - Énfasis5 4" xfId="33"/>
    <cellStyle name="40% - Énfasis6 2" xfId="34"/>
    <cellStyle name="40% - Énfasis6 3" xfId="35"/>
    <cellStyle name="40% - Énfasis6 4" xfId="36"/>
    <cellStyle name="60% - Énfasis1 2" xfId="37"/>
    <cellStyle name="60% - Énfasis2 2" xfId="38"/>
    <cellStyle name="60% - Énfasis3 2" xfId="39"/>
    <cellStyle name="60% - Énfasis4 2" xfId="40"/>
    <cellStyle name="60% - Énfasis5 2" xfId="41"/>
    <cellStyle name="60% - Énfasis6 2" xfId="42"/>
    <cellStyle name="Buena 2" xfId="43"/>
    <cellStyle name="Cálculo 2" xfId="44"/>
    <cellStyle name="Celda de comprobación 2" xfId="45"/>
    <cellStyle name="Celda vinculada 2" xfId="46"/>
    <cellStyle name="Celda vinculada 3" xfId="47"/>
    <cellStyle name="Comma" xfId="48"/>
    <cellStyle name="Currency" xfId="49"/>
    <cellStyle name="Currency 2" xfId="50"/>
    <cellStyle name="Date" xfId="51"/>
    <cellStyle name="Encabezado 4 2" xfId="52"/>
    <cellStyle name="Énfasis1 2" xfId="53"/>
    <cellStyle name="Énfasis1 3" xfId="54"/>
    <cellStyle name="Énfasis2 2" xfId="55"/>
    <cellStyle name="Énfasis3 2" xfId="56"/>
    <cellStyle name="Énfasis4 2" xfId="57"/>
    <cellStyle name="Énfasis5 2" xfId="58"/>
    <cellStyle name="Énfasis6 2" xfId="59"/>
    <cellStyle name="Entrada 2" xfId="60"/>
    <cellStyle name="Estilo 1" xfId="61"/>
    <cellStyle name="Euro" xfId="62"/>
    <cellStyle name="Euro 2" xfId="63"/>
    <cellStyle name="Euro 2 2" xfId="64"/>
    <cellStyle name="Euro 3" xfId="65"/>
    <cellStyle name="Euro 3 2" xfId="66"/>
    <cellStyle name="Euro 4" xfId="67"/>
    <cellStyle name="Fixed" xfId="68"/>
    <cellStyle name="Fixed 2" xfId="69"/>
    <cellStyle name="Heading1" xfId="70"/>
    <cellStyle name="Heading1 2" xfId="71"/>
    <cellStyle name="Heading2" xfId="72"/>
    <cellStyle name="Heading2 2" xfId="73"/>
    <cellStyle name="Hipervínculo" xfId="74" builtinId="8"/>
    <cellStyle name="Hipervínculo 2" xfId="75"/>
    <cellStyle name="Hipervínculo 3" xfId="76"/>
    <cellStyle name="Hipervínculo 4" xfId="77"/>
    <cellStyle name="Incorrecto 2" xfId="78"/>
    <cellStyle name="Millares" xfId="79" builtinId="3"/>
    <cellStyle name="Millares [0] 10" xfId="80"/>
    <cellStyle name="Millares [0] 2" xfId="81"/>
    <cellStyle name="Millares [0] 2 10" xfId="82"/>
    <cellStyle name="Millares [0] 2 11" xfId="83"/>
    <cellStyle name="Millares [0] 2 12" xfId="84"/>
    <cellStyle name="Millares [0] 2 13" xfId="85"/>
    <cellStyle name="Millares [0] 2 14" xfId="86"/>
    <cellStyle name="Millares [0] 2 15" xfId="87"/>
    <cellStyle name="Millares [0] 2 16" xfId="88"/>
    <cellStyle name="Millares [0] 2 17" xfId="89"/>
    <cellStyle name="Millares [0] 2 18" xfId="90"/>
    <cellStyle name="Millares [0] 2 19" xfId="91"/>
    <cellStyle name="Millares [0] 2 2" xfId="92"/>
    <cellStyle name="Millares [0] 2 20" xfId="93"/>
    <cellStyle name="Millares [0] 2 21" xfId="94"/>
    <cellStyle name="Millares [0] 2 22" xfId="95"/>
    <cellStyle name="Millares [0] 2 23" xfId="96"/>
    <cellStyle name="Millares [0] 2 24" xfId="97"/>
    <cellStyle name="Millares [0] 2 25" xfId="98"/>
    <cellStyle name="Millares [0] 2 26" xfId="99"/>
    <cellStyle name="Millares [0] 2 27" xfId="100"/>
    <cellStyle name="Millares [0] 2 28" xfId="101"/>
    <cellStyle name="Millares [0] 2 29" xfId="102"/>
    <cellStyle name="Millares [0] 2 3" xfId="103"/>
    <cellStyle name="Millares [0] 2 30" xfId="104"/>
    <cellStyle name="Millares [0] 2 31" xfId="105"/>
    <cellStyle name="Millares [0] 2 32" xfId="106"/>
    <cellStyle name="Millares [0] 2 33" xfId="107"/>
    <cellStyle name="Millares [0] 2 34" xfId="108"/>
    <cellStyle name="Millares [0] 2 35" xfId="109"/>
    <cellStyle name="Millares [0] 2 36" xfId="110"/>
    <cellStyle name="Millares [0] 2 37" xfId="111"/>
    <cellStyle name="Millares [0] 2 38" xfId="112"/>
    <cellStyle name="Millares [0] 2 39" xfId="113"/>
    <cellStyle name="Millares [0] 2 4" xfId="114"/>
    <cellStyle name="Millares [0] 2 40" xfId="115"/>
    <cellStyle name="Millares [0] 2 41" xfId="116"/>
    <cellStyle name="Millares [0] 2 42" xfId="117"/>
    <cellStyle name="Millares [0] 2 43" xfId="118"/>
    <cellStyle name="Millares [0] 2 44" xfId="119"/>
    <cellStyle name="Millares [0] 2 45" xfId="120"/>
    <cellStyle name="Millares [0] 2 46" xfId="121"/>
    <cellStyle name="Millares [0] 2 47" xfId="122"/>
    <cellStyle name="Millares [0] 2 48" xfId="123"/>
    <cellStyle name="Millares [0] 2 49" xfId="124"/>
    <cellStyle name="Millares [0] 2 5" xfId="125"/>
    <cellStyle name="Millares [0] 2 50" xfId="126"/>
    <cellStyle name="Millares [0] 2 51" xfId="127"/>
    <cellStyle name="Millares [0] 2 52" xfId="128"/>
    <cellStyle name="Millares [0] 2 6" xfId="129"/>
    <cellStyle name="Millares [0] 2 7" xfId="130"/>
    <cellStyle name="Millares [0] 2 8" xfId="131"/>
    <cellStyle name="Millares [0] 2 9" xfId="132"/>
    <cellStyle name="Millares [0] 3" xfId="133"/>
    <cellStyle name="Millares [0] 3 2" xfId="134"/>
    <cellStyle name="Millares [0] 3 2 2" xfId="135"/>
    <cellStyle name="Millares [0] 3 3" xfId="136"/>
    <cellStyle name="Millares [0] 4" xfId="137"/>
    <cellStyle name="Millares [0] 4 2" xfId="138"/>
    <cellStyle name="Millares [0] 5" xfId="139"/>
    <cellStyle name="Millares [0] 6" xfId="140"/>
    <cellStyle name="Millares [0] 6 2" xfId="141"/>
    <cellStyle name="Millares 10" xfId="142"/>
    <cellStyle name="Millares 11" xfId="143"/>
    <cellStyle name="Millares 2" xfId="144"/>
    <cellStyle name="Millares 2 10" xfId="145"/>
    <cellStyle name="Millares 2 11" xfId="146"/>
    <cellStyle name="Millares 2 12" xfId="147"/>
    <cellStyle name="Millares 2 13" xfId="148"/>
    <cellStyle name="Millares 2 14" xfId="149"/>
    <cellStyle name="Millares 2 15" xfId="150"/>
    <cellStyle name="Millares 2 16" xfId="151"/>
    <cellStyle name="Millares 2 17" xfId="152"/>
    <cellStyle name="Millares 2 18" xfId="153"/>
    <cellStyle name="Millares 2 19" xfId="154"/>
    <cellStyle name="Millares 2 2" xfId="155"/>
    <cellStyle name="Millares 2 2 2" xfId="156"/>
    <cellStyle name="Millares 2 2 3" xfId="157"/>
    <cellStyle name="Millares 2 20" xfId="158"/>
    <cellStyle name="Millares 2 21" xfId="159"/>
    <cellStyle name="Millares 2 22" xfId="160"/>
    <cellStyle name="Millares 2 23" xfId="161"/>
    <cellStyle name="Millares 2 24" xfId="162"/>
    <cellStyle name="Millares 2 25" xfId="163"/>
    <cellStyle name="Millares 2 26" xfId="164"/>
    <cellStyle name="Millares 2 27" xfId="165"/>
    <cellStyle name="Millares 2 28" xfId="166"/>
    <cellStyle name="Millares 2 29" xfId="167"/>
    <cellStyle name="Millares 2 3" xfId="168"/>
    <cellStyle name="Millares 2 30" xfId="169"/>
    <cellStyle name="Millares 2 31" xfId="170"/>
    <cellStyle name="Millares 2 32" xfId="171"/>
    <cellStyle name="Millares 2 33" xfId="172"/>
    <cellStyle name="Millares 2 34" xfId="173"/>
    <cellStyle name="Millares 2 35" xfId="174"/>
    <cellStyle name="Millares 2 36" xfId="175"/>
    <cellStyle name="Millares 2 37" xfId="176"/>
    <cellStyle name="Millares 2 38" xfId="177"/>
    <cellStyle name="Millares 2 39" xfId="178"/>
    <cellStyle name="Millares 2 4" xfId="179"/>
    <cellStyle name="Millares 2 40" xfId="180"/>
    <cellStyle name="Millares 2 41" xfId="181"/>
    <cellStyle name="Millares 2 42" xfId="182"/>
    <cellStyle name="Millares 2 43" xfId="183"/>
    <cellStyle name="Millares 2 44" xfId="184"/>
    <cellStyle name="Millares 2 45" xfId="185"/>
    <cellStyle name="Millares 2 46" xfId="186"/>
    <cellStyle name="Millares 2 47" xfId="187"/>
    <cellStyle name="Millares 2 48" xfId="188"/>
    <cellStyle name="Millares 2 49" xfId="189"/>
    <cellStyle name="Millares 2 5" xfId="190"/>
    <cellStyle name="Millares 2 50" xfId="191"/>
    <cellStyle name="Millares 2 51" xfId="192"/>
    <cellStyle name="Millares 2 52" xfId="193"/>
    <cellStyle name="Millares 2 6" xfId="194"/>
    <cellStyle name="Millares 2 7" xfId="195"/>
    <cellStyle name="Millares 2 8" xfId="196"/>
    <cellStyle name="Millares 2 9" xfId="197"/>
    <cellStyle name="Millares 3" xfId="198"/>
    <cellStyle name="Millares 3 2" xfId="199"/>
    <cellStyle name="Millares 3 3" xfId="200"/>
    <cellStyle name="Millares 4" xfId="201"/>
    <cellStyle name="Millares 5" xfId="202"/>
    <cellStyle name="Millares 5 2" xfId="203"/>
    <cellStyle name="Millares 6" xfId="204"/>
    <cellStyle name="Millares 7" xfId="205"/>
    <cellStyle name="Millares 7 2" xfId="206"/>
    <cellStyle name="Millares 8" xfId="207"/>
    <cellStyle name="Millares 8 2" xfId="208"/>
    <cellStyle name="Millares 9" xfId="209"/>
    <cellStyle name="Millares 9 2" xfId="210"/>
    <cellStyle name="Millares_REGIONALIZACION 2000" xfId="681"/>
    <cellStyle name="MillÔres [0]_LISTADO MAESTRO DE DOCUMENTOS" xfId="211"/>
    <cellStyle name="Moneda" xfId="212" builtinId="4"/>
    <cellStyle name="Moneda 2" xfId="213"/>
    <cellStyle name="Moneda 2 2" xfId="214"/>
    <cellStyle name="Moneda 2 3" xfId="215"/>
    <cellStyle name="Moneda 3" xfId="216"/>
    <cellStyle name="Moneda 4" xfId="217"/>
    <cellStyle name="Moneda 4 2" xfId="218"/>
    <cellStyle name="Moneda 4 2 2" xfId="219"/>
    <cellStyle name="Moneda 4 2 3" xfId="220"/>
    <cellStyle name="Moneda 5" xfId="221"/>
    <cellStyle name="Neutral 2" xfId="222"/>
    <cellStyle name="Normal" xfId="0" builtinId="0"/>
    <cellStyle name="Normal 10" xfId="223"/>
    <cellStyle name="Normal 10 2" xfId="224"/>
    <cellStyle name="Normal 11" xfId="225"/>
    <cellStyle name="Normal 12" xfId="226"/>
    <cellStyle name="Normal 13" xfId="227"/>
    <cellStyle name="Normal 14" xfId="228"/>
    <cellStyle name="Normal 15" xfId="229"/>
    <cellStyle name="Normal 16" xfId="230"/>
    <cellStyle name="Normal 17" xfId="231"/>
    <cellStyle name="Normal 17 2" xfId="232"/>
    <cellStyle name="Normal 17 3" xfId="233"/>
    <cellStyle name="Normal 18" xfId="234"/>
    <cellStyle name="Normal 2" xfId="235"/>
    <cellStyle name="Normal 2 10" xfId="236"/>
    <cellStyle name="Normal 2 10 2" xfId="237"/>
    <cellStyle name="Normal 2 11" xfId="238"/>
    <cellStyle name="Normal 2 11 2" xfId="239"/>
    <cellStyle name="Normal 2 12" xfId="240"/>
    <cellStyle name="Normal 2 12 2" xfId="241"/>
    <cellStyle name="Normal 2 13" xfId="242"/>
    <cellStyle name="Normal 2 13 2" xfId="243"/>
    <cellStyle name="Normal 2 14" xfId="244"/>
    <cellStyle name="Normal 2 14 2" xfId="245"/>
    <cellStyle name="Normal 2 15" xfId="246"/>
    <cellStyle name="Normal 2 15 2" xfId="247"/>
    <cellStyle name="Normal 2 16" xfId="248"/>
    <cellStyle name="Normal 2 16 2" xfId="249"/>
    <cellStyle name="Normal 2 17" xfId="250"/>
    <cellStyle name="Normal 2 17 2" xfId="251"/>
    <cellStyle name="Normal 2 18" xfId="252"/>
    <cellStyle name="Normal 2 18 2" xfId="253"/>
    <cellStyle name="Normal 2 19" xfId="254"/>
    <cellStyle name="Normal 2 19 2" xfId="255"/>
    <cellStyle name="Normal 2 2" xfId="256"/>
    <cellStyle name="Normal 2 2 2" xfId="257"/>
    <cellStyle name="Normal 2 20" xfId="258"/>
    <cellStyle name="Normal 2 20 2" xfId="259"/>
    <cellStyle name="Normal 2 21" xfId="260"/>
    <cellStyle name="Normal 2 21 2" xfId="261"/>
    <cellStyle name="Normal 2 22" xfId="262"/>
    <cellStyle name="Normal 2 22 2" xfId="263"/>
    <cellStyle name="Normal 2 23" xfId="264"/>
    <cellStyle name="Normal 2 23 2" xfId="265"/>
    <cellStyle name="Normal 2 24" xfId="266"/>
    <cellStyle name="Normal 2 24 2" xfId="267"/>
    <cellStyle name="Normal 2 25" xfId="268"/>
    <cellStyle name="Normal 2 25 2" xfId="269"/>
    <cellStyle name="Normal 2 26" xfId="270"/>
    <cellStyle name="Normal 2 26 2" xfId="271"/>
    <cellStyle name="Normal 2 27" xfId="272"/>
    <cellStyle name="Normal 2 27 2" xfId="273"/>
    <cellStyle name="Normal 2 28" xfId="274"/>
    <cellStyle name="Normal 2 28 2" xfId="275"/>
    <cellStyle name="Normal 2 29" xfId="276"/>
    <cellStyle name="Normal 2 29 2" xfId="277"/>
    <cellStyle name="Normal 2 3" xfId="278"/>
    <cellStyle name="Normal 2 3 2" xfId="279"/>
    <cellStyle name="Normal 2 30" xfId="280"/>
    <cellStyle name="Normal 2 30 2" xfId="281"/>
    <cellStyle name="Normal 2 31" xfId="282"/>
    <cellStyle name="Normal 2 31 2" xfId="283"/>
    <cellStyle name="Normal 2 32" xfId="284"/>
    <cellStyle name="Normal 2 32 2" xfId="285"/>
    <cellStyle name="Normal 2 33" xfId="286"/>
    <cellStyle name="Normal 2 33 2" xfId="287"/>
    <cellStyle name="Normal 2 34" xfId="288"/>
    <cellStyle name="Normal 2 34 2" xfId="289"/>
    <cellStyle name="Normal 2 35" xfId="290"/>
    <cellStyle name="Normal 2 35 2" xfId="291"/>
    <cellStyle name="Normal 2 36" xfId="292"/>
    <cellStyle name="Normal 2 36 2" xfId="293"/>
    <cellStyle name="Normal 2 37" xfId="294"/>
    <cellStyle name="Normal 2 37 2" xfId="295"/>
    <cellStyle name="Normal 2 38" xfId="296"/>
    <cellStyle name="Normal 2 38 2" xfId="297"/>
    <cellStyle name="Normal 2 39" xfId="298"/>
    <cellStyle name="Normal 2 39 2" xfId="299"/>
    <cellStyle name="Normal 2 4" xfId="300"/>
    <cellStyle name="Normal 2 4 2" xfId="301"/>
    <cellStyle name="Normal 2 40" xfId="302"/>
    <cellStyle name="Normal 2 40 2" xfId="303"/>
    <cellStyle name="Normal 2 41" xfId="304"/>
    <cellStyle name="Normal 2 41 2" xfId="305"/>
    <cellStyle name="Normal 2 42" xfId="306"/>
    <cellStyle name="Normal 2 42 2" xfId="307"/>
    <cellStyle name="Normal 2 43" xfId="308"/>
    <cellStyle name="Normal 2 43 2" xfId="309"/>
    <cellStyle name="Normal 2 44" xfId="310"/>
    <cellStyle name="Normal 2 44 2" xfId="311"/>
    <cellStyle name="Normal 2 45" xfId="312"/>
    <cellStyle name="Normal 2 45 2" xfId="313"/>
    <cellStyle name="Normal 2 46" xfId="314"/>
    <cellStyle name="Normal 2 46 2" xfId="315"/>
    <cellStyle name="Normal 2 47" xfId="316"/>
    <cellStyle name="Normal 2 47 2" xfId="317"/>
    <cellStyle name="Normal 2 48" xfId="318"/>
    <cellStyle name="Normal 2 48 2" xfId="319"/>
    <cellStyle name="Normal 2 49" xfId="320"/>
    <cellStyle name="Normal 2 49 2" xfId="321"/>
    <cellStyle name="Normal 2 5" xfId="322"/>
    <cellStyle name="Normal 2 5 2" xfId="323"/>
    <cellStyle name="Normal 2 50" xfId="324"/>
    <cellStyle name="Normal 2 50 2" xfId="325"/>
    <cellStyle name="Normal 2 51" xfId="326"/>
    <cellStyle name="Normal 2 51 2" xfId="327"/>
    <cellStyle name="Normal 2 52" xfId="328"/>
    <cellStyle name="Normal 2 52 2" xfId="329"/>
    <cellStyle name="Normal 2 53" xfId="330"/>
    <cellStyle name="Normal 2 53 2" xfId="331"/>
    <cellStyle name="Normal 2 54" xfId="332"/>
    <cellStyle name="Normal 2 6" xfId="333"/>
    <cellStyle name="Normal 2 6 2" xfId="334"/>
    <cellStyle name="Normal 2 7" xfId="335"/>
    <cellStyle name="Normal 2 7 2" xfId="336"/>
    <cellStyle name="Normal 2 8" xfId="337"/>
    <cellStyle name="Normal 2 8 2" xfId="338"/>
    <cellStyle name="Normal 2 9" xfId="339"/>
    <cellStyle name="Normal 2 9 2" xfId="340"/>
    <cellStyle name="Normal 20" xfId="341"/>
    <cellStyle name="Normal 22" xfId="342"/>
    <cellStyle name="Normal 24" xfId="343"/>
    <cellStyle name="Normal 26" xfId="344"/>
    <cellStyle name="Normal 28" xfId="345"/>
    <cellStyle name="Normal 3" xfId="346"/>
    <cellStyle name="Normal 3 2" xfId="347"/>
    <cellStyle name="Normal 3 2 2" xfId="348"/>
    <cellStyle name="Normal 3 3" xfId="349"/>
    <cellStyle name="Normal 30" xfId="350"/>
    <cellStyle name="Normal 33" xfId="351"/>
    <cellStyle name="Normal 34" xfId="352"/>
    <cellStyle name="Normal 37" xfId="353"/>
    <cellStyle name="Normal 38" xfId="354"/>
    <cellStyle name="Normal 4" xfId="355"/>
    <cellStyle name="Normal 4 10" xfId="356"/>
    <cellStyle name="Normal 4 11" xfId="357"/>
    <cellStyle name="Normal 4 12" xfId="358"/>
    <cellStyle name="Normal 4 13" xfId="359"/>
    <cellStyle name="Normal 4 14" xfId="360"/>
    <cellStyle name="Normal 4 15" xfId="361"/>
    <cellStyle name="Normal 4 16" xfId="362"/>
    <cellStyle name="Normal 4 17" xfId="363"/>
    <cellStyle name="Normal 4 18" xfId="364"/>
    <cellStyle name="Normal 4 19" xfId="365"/>
    <cellStyle name="Normal 4 2" xfId="366"/>
    <cellStyle name="Normal 4 2 2" xfId="367"/>
    <cellStyle name="Normal 4 2 2 2" xfId="368"/>
    <cellStyle name="Normal 4 20" xfId="369"/>
    <cellStyle name="Normal 4 21" xfId="370"/>
    <cellStyle name="Normal 4 22" xfId="371"/>
    <cellStyle name="Normal 4 23" xfId="372"/>
    <cellStyle name="Normal 4 24" xfId="373"/>
    <cellStyle name="Normal 4 25" xfId="374"/>
    <cellStyle name="Normal 4 26" xfId="375"/>
    <cellStyle name="Normal 4 27" xfId="376"/>
    <cellStyle name="Normal 4 28" xfId="377"/>
    <cellStyle name="Normal 4 29" xfId="378"/>
    <cellStyle name="Normal 4 3" xfId="379"/>
    <cellStyle name="Normal 4 30" xfId="380"/>
    <cellStyle name="Normal 4 31" xfId="381"/>
    <cellStyle name="Normal 4 32" xfId="382"/>
    <cellStyle name="Normal 4 33" xfId="383"/>
    <cellStyle name="Normal 4 34" xfId="384"/>
    <cellStyle name="Normal 4 35" xfId="385"/>
    <cellStyle name="Normal 4 36" xfId="386"/>
    <cellStyle name="Normal 4 37" xfId="387"/>
    <cellStyle name="Normal 4 38" xfId="388"/>
    <cellStyle name="Normal 4 39" xfId="389"/>
    <cellStyle name="Normal 4 4" xfId="390"/>
    <cellStyle name="Normal 4 40" xfId="391"/>
    <cellStyle name="Normal 4 41" xfId="392"/>
    <cellStyle name="Normal 4 42" xfId="393"/>
    <cellStyle name="Normal 4 43" xfId="394"/>
    <cellStyle name="Normal 4 44" xfId="395"/>
    <cellStyle name="Normal 4 45" xfId="396"/>
    <cellStyle name="Normal 4 46" xfId="397"/>
    <cellStyle name="Normal 4 47" xfId="398"/>
    <cellStyle name="Normal 4 48" xfId="399"/>
    <cellStyle name="Normal 4 49" xfId="400"/>
    <cellStyle name="Normal 4 5" xfId="401"/>
    <cellStyle name="Normal 4 50" xfId="402"/>
    <cellStyle name="Normal 4 51" xfId="403"/>
    <cellStyle name="Normal 4 52" xfId="404"/>
    <cellStyle name="Normal 4 53" xfId="405"/>
    <cellStyle name="Normal 4 53 2" xfId="406"/>
    <cellStyle name="Normal 4 6" xfId="407"/>
    <cellStyle name="Normal 4 7" xfId="408"/>
    <cellStyle name="Normal 4 8" xfId="409"/>
    <cellStyle name="Normal 4 9" xfId="410"/>
    <cellStyle name="Normal 40" xfId="411"/>
    <cellStyle name="Normal 41" xfId="412"/>
    <cellStyle name="Normal 42" xfId="413"/>
    <cellStyle name="Normal 43" xfId="414"/>
    <cellStyle name="Normal 44" xfId="415"/>
    <cellStyle name="Normal 5" xfId="416"/>
    <cellStyle name="Normal 5 2" xfId="417"/>
    <cellStyle name="Normal 54" xfId="418"/>
    <cellStyle name="Normal 6" xfId="419"/>
    <cellStyle name="Normal 6 2" xfId="420"/>
    <cellStyle name="Normal 7" xfId="421"/>
    <cellStyle name="Normal 7 2" xfId="422"/>
    <cellStyle name="Normal 8" xfId="423"/>
    <cellStyle name="Normal 8 2" xfId="424"/>
    <cellStyle name="Normal 9" xfId="425"/>
    <cellStyle name="Normal 9 2" xfId="426"/>
    <cellStyle name="Normal_Hoja6" xfId="427"/>
    <cellStyle name="Normal_Inversion 2004  Oct. 4 2" xfId="428"/>
    <cellStyle name="Normal_javier" xfId="682"/>
    <cellStyle name="Normal_PROGRAMACION DE LA INVERSION POR PROYECTO Y ACTIVIDADES1" xfId="429"/>
    <cellStyle name="Notas 2" xfId="430"/>
    <cellStyle name="Notas 2 2" xfId="431"/>
    <cellStyle name="Notas 3" xfId="432"/>
    <cellStyle name="Notas 3 2" xfId="433"/>
    <cellStyle name="Notas 4" xfId="434"/>
    <cellStyle name="Percent" xfId="435"/>
    <cellStyle name="Percent 2" xfId="436"/>
    <cellStyle name="Porcentaje" xfId="437" builtinId="5"/>
    <cellStyle name="Porcentaje 2" xfId="438"/>
    <cellStyle name="Porcentaje 2 2" xfId="439"/>
    <cellStyle name="Porcentaje 2 2 2" xfId="440"/>
    <cellStyle name="Porcentaje 2 2 3" xfId="441"/>
    <cellStyle name="Porcentaje 2 3" xfId="442"/>
    <cellStyle name="Porcentaje 3" xfId="443"/>
    <cellStyle name="Porcentaje 3 2" xfId="444"/>
    <cellStyle name="Porcentaje 4" xfId="445"/>
    <cellStyle name="Porcentaje 4 2" xfId="446"/>
    <cellStyle name="Porcentaje 4 2 2" xfId="447"/>
    <cellStyle name="Porcentaje 4 3" xfId="448"/>
    <cellStyle name="Porcentaje 5" xfId="449"/>
    <cellStyle name="Porcentaje 5 2" xfId="450"/>
    <cellStyle name="Porcentaje 6" xfId="451"/>
    <cellStyle name="Porcentaje 7" xfId="452"/>
    <cellStyle name="Porcentaje 8" xfId="453"/>
    <cellStyle name="Porcentaje 9" xfId="454"/>
    <cellStyle name="Porcentual 2" xfId="455"/>
    <cellStyle name="Porcentual 2 10" xfId="456"/>
    <cellStyle name="Porcentual 2 10 2" xfId="457"/>
    <cellStyle name="Porcentual 2 11" xfId="458"/>
    <cellStyle name="Porcentual 2 11 2" xfId="459"/>
    <cellStyle name="Porcentual 2 12" xfId="460"/>
    <cellStyle name="Porcentual 2 12 2" xfId="461"/>
    <cellStyle name="Porcentual 2 13" xfId="462"/>
    <cellStyle name="Porcentual 2 13 2" xfId="463"/>
    <cellStyle name="Porcentual 2 14" xfId="464"/>
    <cellStyle name="Porcentual 2 14 2" xfId="465"/>
    <cellStyle name="Porcentual 2 15" xfId="466"/>
    <cellStyle name="Porcentual 2 15 2" xfId="467"/>
    <cellStyle name="Porcentual 2 16" xfId="468"/>
    <cellStyle name="Porcentual 2 16 2" xfId="469"/>
    <cellStyle name="Porcentual 2 17" xfId="470"/>
    <cellStyle name="Porcentual 2 17 2" xfId="471"/>
    <cellStyle name="Porcentual 2 18" xfId="472"/>
    <cellStyle name="Porcentual 2 18 2" xfId="473"/>
    <cellStyle name="Porcentual 2 19" xfId="474"/>
    <cellStyle name="Porcentual 2 19 2" xfId="475"/>
    <cellStyle name="Porcentual 2 2" xfId="476"/>
    <cellStyle name="Porcentual 2 2 2" xfId="477"/>
    <cellStyle name="Porcentual 2 20" xfId="478"/>
    <cellStyle name="Porcentual 2 20 2" xfId="479"/>
    <cellStyle name="Porcentual 2 21" xfId="480"/>
    <cellStyle name="Porcentual 2 21 2" xfId="481"/>
    <cellStyle name="Porcentual 2 22" xfId="482"/>
    <cellStyle name="Porcentual 2 22 2" xfId="483"/>
    <cellStyle name="Porcentual 2 23" xfId="484"/>
    <cellStyle name="Porcentual 2 23 2" xfId="485"/>
    <cellStyle name="Porcentual 2 24" xfId="486"/>
    <cellStyle name="Porcentual 2 24 2" xfId="487"/>
    <cellStyle name="Porcentual 2 25" xfId="488"/>
    <cellStyle name="Porcentual 2 25 2" xfId="489"/>
    <cellStyle name="Porcentual 2 26" xfId="490"/>
    <cellStyle name="Porcentual 2 26 2" xfId="491"/>
    <cellStyle name="Porcentual 2 27" xfId="492"/>
    <cellStyle name="Porcentual 2 27 2" xfId="493"/>
    <cellStyle name="Porcentual 2 28" xfId="494"/>
    <cellStyle name="Porcentual 2 28 2" xfId="495"/>
    <cellStyle name="Porcentual 2 29" xfId="496"/>
    <cellStyle name="Porcentual 2 29 2" xfId="497"/>
    <cellStyle name="Porcentual 2 3" xfId="498"/>
    <cellStyle name="Porcentual 2 3 2" xfId="499"/>
    <cellStyle name="Porcentual 2 30" xfId="500"/>
    <cellStyle name="Porcentual 2 30 2" xfId="501"/>
    <cellStyle name="Porcentual 2 31" xfId="502"/>
    <cellStyle name="Porcentual 2 31 2" xfId="503"/>
    <cellStyle name="Porcentual 2 32" xfId="504"/>
    <cellStyle name="Porcentual 2 32 2" xfId="505"/>
    <cellStyle name="Porcentual 2 33" xfId="506"/>
    <cellStyle name="Porcentual 2 33 2" xfId="507"/>
    <cellStyle name="Porcentual 2 34" xfId="508"/>
    <cellStyle name="Porcentual 2 34 2" xfId="509"/>
    <cellStyle name="Porcentual 2 35" xfId="510"/>
    <cellStyle name="Porcentual 2 35 2" xfId="511"/>
    <cellStyle name="Porcentual 2 36" xfId="512"/>
    <cellStyle name="Porcentual 2 36 2" xfId="513"/>
    <cellStyle name="Porcentual 2 37" xfId="514"/>
    <cellStyle name="Porcentual 2 37 2" xfId="515"/>
    <cellStyle name="Porcentual 2 38" xfId="516"/>
    <cellStyle name="Porcentual 2 38 2" xfId="517"/>
    <cellStyle name="Porcentual 2 39" xfId="518"/>
    <cellStyle name="Porcentual 2 39 2" xfId="519"/>
    <cellStyle name="Porcentual 2 4" xfId="520"/>
    <cellStyle name="Porcentual 2 4 2" xfId="521"/>
    <cellStyle name="Porcentual 2 40" xfId="522"/>
    <cellStyle name="Porcentual 2 40 2" xfId="523"/>
    <cellStyle name="Porcentual 2 41" xfId="524"/>
    <cellStyle name="Porcentual 2 41 2" xfId="525"/>
    <cellStyle name="Porcentual 2 42" xfId="526"/>
    <cellStyle name="Porcentual 2 42 2" xfId="527"/>
    <cellStyle name="Porcentual 2 43" xfId="528"/>
    <cellStyle name="Porcentual 2 43 2" xfId="529"/>
    <cellStyle name="Porcentual 2 44" xfId="530"/>
    <cellStyle name="Porcentual 2 44 2" xfId="531"/>
    <cellStyle name="Porcentual 2 45" xfId="532"/>
    <cellStyle name="Porcentual 2 45 2" xfId="533"/>
    <cellStyle name="Porcentual 2 46" xfId="534"/>
    <cellStyle name="Porcentual 2 46 2" xfId="535"/>
    <cellStyle name="Porcentual 2 47" xfId="536"/>
    <cellStyle name="Porcentual 2 47 2" xfId="537"/>
    <cellStyle name="Porcentual 2 48" xfId="538"/>
    <cellStyle name="Porcentual 2 48 2" xfId="539"/>
    <cellStyle name="Porcentual 2 49" xfId="540"/>
    <cellStyle name="Porcentual 2 49 2" xfId="541"/>
    <cellStyle name="Porcentual 2 5" xfId="542"/>
    <cellStyle name="Porcentual 2 5 2" xfId="543"/>
    <cellStyle name="Porcentual 2 50" xfId="544"/>
    <cellStyle name="Porcentual 2 50 2" xfId="545"/>
    <cellStyle name="Porcentual 2 51" xfId="546"/>
    <cellStyle name="Porcentual 2 51 2" xfId="547"/>
    <cellStyle name="Porcentual 2 52" xfId="548"/>
    <cellStyle name="Porcentual 2 52 2" xfId="549"/>
    <cellStyle name="Porcentual 2 53" xfId="550"/>
    <cellStyle name="Porcentual 2 53 2" xfId="551"/>
    <cellStyle name="Porcentual 2 54" xfId="552"/>
    <cellStyle name="Porcentual 2 55" xfId="553"/>
    <cellStyle name="Porcentual 2 6" xfId="554"/>
    <cellStyle name="Porcentual 2 6 2" xfId="555"/>
    <cellStyle name="Porcentual 2 7" xfId="556"/>
    <cellStyle name="Porcentual 2 7 2" xfId="557"/>
    <cellStyle name="Porcentual 2 8" xfId="558"/>
    <cellStyle name="Porcentual 2 8 2" xfId="559"/>
    <cellStyle name="Porcentual 2 9" xfId="560"/>
    <cellStyle name="Porcentual 2 9 2" xfId="561"/>
    <cellStyle name="Porcentual 3" xfId="562"/>
    <cellStyle name="Porcentual 3 10" xfId="563"/>
    <cellStyle name="Porcentual 3 10 2" xfId="564"/>
    <cellStyle name="Porcentual 3 11" xfId="565"/>
    <cellStyle name="Porcentual 3 11 2" xfId="566"/>
    <cellStyle name="Porcentual 3 12" xfId="567"/>
    <cellStyle name="Porcentual 3 12 2" xfId="568"/>
    <cellStyle name="Porcentual 3 13" xfId="569"/>
    <cellStyle name="Porcentual 3 13 2" xfId="570"/>
    <cellStyle name="Porcentual 3 14" xfId="571"/>
    <cellStyle name="Porcentual 3 14 2" xfId="572"/>
    <cellStyle name="Porcentual 3 15" xfId="573"/>
    <cellStyle name="Porcentual 3 15 2" xfId="574"/>
    <cellStyle name="Porcentual 3 16" xfId="575"/>
    <cellStyle name="Porcentual 3 16 2" xfId="576"/>
    <cellStyle name="Porcentual 3 17" xfId="577"/>
    <cellStyle name="Porcentual 3 17 2" xfId="578"/>
    <cellStyle name="Porcentual 3 18" xfId="579"/>
    <cellStyle name="Porcentual 3 18 2" xfId="580"/>
    <cellStyle name="Porcentual 3 19" xfId="581"/>
    <cellStyle name="Porcentual 3 19 2" xfId="582"/>
    <cellStyle name="Porcentual 3 2" xfId="583"/>
    <cellStyle name="Porcentual 3 20" xfId="584"/>
    <cellStyle name="Porcentual 3 20 2" xfId="585"/>
    <cellStyle name="Porcentual 3 21" xfId="586"/>
    <cellStyle name="Porcentual 3 21 2" xfId="587"/>
    <cellStyle name="Porcentual 3 22" xfId="588"/>
    <cellStyle name="Porcentual 3 22 2" xfId="589"/>
    <cellStyle name="Porcentual 3 23" xfId="590"/>
    <cellStyle name="Porcentual 3 23 2" xfId="591"/>
    <cellStyle name="Porcentual 3 24" xfId="592"/>
    <cellStyle name="Porcentual 3 24 2" xfId="593"/>
    <cellStyle name="Porcentual 3 25" xfId="594"/>
    <cellStyle name="Porcentual 3 25 2" xfId="595"/>
    <cellStyle name="Porcentual 3 26" xfId="596"/>
    <cellStyle name="Porcentual 3 26 2" xfId="597"/>
    <cellStyle name="Porcentual 3 27" xfId="598"/>
    <cellStyle name="Porcentual 3 27 2" xfId="599"/>
    <cellStyle name="Porcentual 3 28" xfId="600"/>
    <cellStyle name="Porcentual 3 28 2" xfId="601"/>
    <cellStyle name="Porcentual 3 29" xfId="602"/>
    <cellStyle name="Porcentual 3 29 2" xfId="603"/>
    <cellStyle name="Porcentual 3 3" xfId="604"/>
    <cellStyle name="Porcentual 3 3 2" xfId="605"/>
    <cellStyle name="Porcentual 3 30" xfId="606"/>
    <cellStyle name="Porcentual 3 30 2" xfId="607"/>
    <cellStyle name="Porcentual 3 31" xfId="608"/>
    <cellStyle name="Porcentual 3 31 2" xfId="609"/>
    <cellStyle name="Porcentual 3 32" xfId="610"/>
    <cellStyle name="Porcentual 3 32 2" xfId="611"/>
    <cellStyle name="Porcentual 3 33" xfId="612"/>
    <cellStyle name="Porcentual 3 33 2" xfId="613"/>
    <cellStyle name="Porcentual 3 34" xfId="614"/>
    <cellStyle name="Porcentual 3 34 2" xfId="615"/>
    <cellStyle name="Porcentual 3 35" xfId="616"/>
    <cellStyle name="Porcentual 3 35 2" xfId="617"/>
    <cellStyle name="Porcentual 3 36" xfId="618"/>
    <cellStyle name="Porcentual 3 36 2" xfId="619"/>
    <cellStyle name="Porcentual 3 37" xfId="620"/>
    <cellStyle name="Porcentual 3 37 2" xfId="621"/>
    <cellStyle name="Porcentual 3 38" xfId="622"/>
    <cellStyle name="Porcentual 3 38 2" xfId="623"/>
    <cellStyle name="Porcentual 3 39" xfId="624"/>
    <cellStyle name="Porcentual 3 39 2" xfId="625"/>
    <cellStyle name="Porcentual 3 4" xfId="626"/>
    <cellStyle name="Porcentual 3 4 2" xfId="627"/>
    <cellStyle name="Porcentual 3 40" xfId="628"/>
    <cellStyle name="Porcentual 3 40 2" xfId="629"/>
    <cellStyle name="Porcentual 3 41" xfId="630"/>
    <cellStyle name="Porcentual 3 41 2" xfId="631"/>
    <cellStyle name="Porcentual 3 42" xfId="632"/>
    <cellStyle name="Porcentual 3 42 2" xfId="633"/>
    <cellStyle name="Porcentual 3 43" xfId="634"/>
    <cellStyle name="Porcentual 3 43 2" xfId="635"/>
    <cellStyle name="Porcentual 3 44" xfId="636"/>
    <cellStyle name="Porcentual 3 44 2" xfId="637"/>
    <cellStyle name="Porcentual 3 45" xfId="638"/>
    <cellStyle name="Porcentual 3 45 2" xfId="639"/>
    <cellStyle name="Porcentual 3 46" xfId="640"/>
    <cellStyle name="Porcentual 3 46 2" xfId="641"/>
    <cellStyle name="Porcentual 3 47" xfId="642"/>
    <cellStyle name="Porcentual 3 47 2" xfId="643"/>
    <cellStyle name="Porcentual 3 48" xfId="644"/>
    <cellStyle name="Porcentual 3 48 2" xfId="645"/>
    <cellStyle name="Porcentual 3 49" xfId="646"/>
    <cellStyle name="Porcentual 3 49 2" xfId="647"/>
    <cellStyle name="Porcentual 3 5" xfId="648"/>
    <cellStyle name="Porcentual 3 5 2" xfId="649"/>
    <cellStyle name="Porcentual 3 50" xfId="650"/>
    <cellStyle name="Porcentual 3 50 2" xfId="651"/>
    <cellStyle name="Porcentual 3 51" xfId="652"/>
    <cellStyle name="Porcentual 3 51 2" xfId="653"/>
    <cellStyle name="Porcentual 3 52" xfId="654"/>
    <cellStyle name="Porcentual 3 52 2" xfId="655"/>
    <cellStyle name="Porcentual 3 53" xfId="656"/>
    <cellStyle name="Porcentual 3 53 2" xfId="657"/>
    <cellStyle name="Porcentual 3 54" xfId="658"/>
    <cellStyle name="Porcentual 3 6" xfId="659"/>
    <cellStyle name="Porcentual 3 6 2" xfId="660"/>
    <cellStyle name="Porcentual 3 7" xfId="661"/>
    <cellStyle name="Porcentual 3 7 2" xfId="662"/>
    <cellStyle name="Porcentual 3 8" xfId="663"/>
    <cellStyle name="Porcentual 3 8 2" xfId="664"/>
    <cellStyle name="Porcentual 3 9" xfId="665"/>
    <cellStyle name="Porcentual 3 9 2" xfId="666"/>
    <cellStyle name="Porcentual 4" xfId="667"/>
    <cellStyle name="Porcentual 5" xfId="668"/>
    <cellStyle name="Porcentual 6" xfId="669"/>
    <cellStyle name="Porcentual 7" xfId="670"/>
    <cellStyle name="Porcentual 7 2" xfId="671"/>
    <cellStyle name="Porcentual 8" xfId="672"/>
    <cellStyle name="Salida 2" xfId="673"/>
    <cellStyle name="Texto de advertencia 2" xfId="674"/>
    <cellStyle name="Texto explicativo 2" xfId="675"/>
    <cellStyle name="Título 1 2" xfId="676"/>
    <cellStyle name="Título 2 2" xfId="677"/>
    <cellStyle name="Título 3 2" xfId="678"/>
    <cellStyle name="Título 4" xfId="679"/>
    <cellStyle name="Total 2" xfId="680"/>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1123950</xdr:colOff>
      <xdr:row>1</xdr:row>
      <xdr:rowOff>66675</xdr:rowOff>
    </xdr:from>
    <xdr:to>
      <xdr:col>2</xdr:col>
      <xdr:colOff>387350</xdr:colOff>
      <xdr:row>1</xdr:row>
      <xdr:rowOff>1066800</xdr:rowOff>
    </xdr:to>
    <xdr:pic>
      <xdr:nvPicPr>
        <xdr:cNvPr id="151618"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28725" y="180975"/>
          <a:ext cx="9620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1</xdr:row>
      <xdr:rowOff>19050</xdr:rowOff>
    </xdr:from>
    <xdr:to>
      <xdr:col>0</xdr:col>
      <xdr:colOff>1223645</xdr:colOff>
      <xdr:row>1</xdr:row>
      <xdr:rowOff>1056566</xdr:rowOff>
    </xdr:to>
    <xdr:pic>
      <xdr:nvPicPr>
        <xdr:cNvPr id="3" name="5 Imagen" descr="Logo impresos copia.jpg"/>
        <xdr:cNvPicPr>
          <a:picLocks noChangeAspect="1"/>
        </xdr:cNvPicPr>
      </xdr:nvPicPr>
      <xdr:blipFill>
        <a:blip xmlns:r="http://schemas.openxmlformats.org/officeDocument/2006/relationships" r:embed="rId1" cstate="print"/>
        <a:srcRect/>
        <a:stretch>
          <a:fillRect/>
        </a:stretch>
      </xdr:blipFill>
      <xdr:spPr bwMode="auto">
        <a:xfrm>
          <a:off x="352425" y="285750"/>
          <a:ext cx="874395" cy="103751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830035</xdr:colOff>
      <xdr:row>0</xdr:row>
      <xdr:rowOff>0</xdr:rowOff>
    </xdr:from>
    <xdr:to>
      <xdr:col>1</xdr:col>
      <xdr:colOff>911678</xdr:colOff>
      <xdr:row>0</xdr:row>
      <xdr:rowOff>0</xdr:rowOff>
    </xdr:to>
    <xdr:grpSp>
      <xdr:nvGrpSpPr>
        <xdr:cNvPr id="169303" name="Group 4"/>
        <xdr:cNvGrpSpPr>
          <a:grpSpLocks/>
        </xdr:cNvGrpSpPr>
      </xdr:nvGrpSpPr>
      <xdr:grpSpPr bwMode="auto">
        <a:xfrm>
          <a:off x="1306285" y="0"/>
          <a:ext cx="81643" cy="0"/>
          <a:chOff x="936" y="2659"/>
          <a:chExt cx="101" cy="11"/>
        </a:xfrm>
      </xdr:grpSpPr>
      <xdr:pic>
        <xdr:nvPicPr>
          <xdr:cNvPr id="169305" name="ctl00_ContentPlaceHolder1_GraficaAvanFinanFyG_UCEjecucionPresupuestal_BaseImage" descr="https://spi.dnp.gov.co/Consultas/ChartImages/Chart_99.png?KxRx=0x040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 y="2659"/>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9306" name="Rectangle 45"/>
          <xdr:cNvSpPr>
            <a:spLocks noChangeArrowheads="1"/>
          </xdr:cNvSpPr>
        </xdr:nvSpPr>
        <xdr:spPr bwMode="auto">
          <a:xfrm>
            <a:off x="1025"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7" name="Rectangle 44"/>
          <xdr:cNvSpPr>
            <a:spLocks noChangeArrowheads="1"/>
          </xdr:cNvSpPr>
        </xdr:nvSpPr>
        <xdr:spPr bwMode="auto">
          <a:xfrm>
            <a:off x="1012"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8" name="Rectangle 43"/>
          <xdr:cNvSpPr>
            <a:spLocks noChangeArrowheads="1"/>
          </xdr:cNvSpPr>
        </xdr:nvSpPr>
        <xdr:spPr bwMode="auto">
          <a:xfrm>
            <a:off x="999"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9" name="Rectangle 42"/>
          <xdr:cNvSpPr>
            <a:spLocks noChangeArrowheads="1"/>
          </xdr:cNvSpPr>
        </xdr:nvSpPr>
        <xdr:spPr bwMode="auto">
          <a:xfrm>
            <a:off x="98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0" name="Rectangle 41"/>
          <xdr:cNvSpPr>
            <a:spLocks noChangeArrowheads="1"/>
          </xdr:cNvSpPr>
        </xdr:nvSpPr>
        <xdr:spPr bwMode="auto">
          <a:xfrm>
            <a:off x="973"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1" name="Rectangle 40"/>
          <xdr:cNvSpPr>
            <a:spLocks noChangeArrowheads="1"/>
          </xdr:cNvSpPr>
        </xdr:nvSpPr>
        <xdr:spPr bwMode="auto">
          <a:xfrm>
            <a:off x="960"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2" name="Rectangle 39"/>
          <xdr:cNvSpPr>
            <a:spLocks noChangeArrowheads="1"/>
          </xdr:cNvSpPr>
        </xdr:nvSpPr>
        <xdr:spPr bwMode="auto">
          <a:xfrm>
            <a:off x="947"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3" name="Rectangle 38"/>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4" name="Rectangle 37"/>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5" name="Rectangle 36"/>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6" name="Oval 3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7" name="Oval 3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8" name="Oval 3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9" name="Oval 3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0" name="Oval 3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1" name="Oval 3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2" name="Oval 2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3" name="Oval 2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4" name="Oval 2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5" name="Oval 2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6" name="Oval 2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7" name="Oval 2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8" name="Oval 2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9" name="Oval 2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0" name="Oval 2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1" name="Oval 2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2" name="Oval 1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3" name="Oval 1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4" name="Oval 1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5" name="Oval 1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6" name="Oval 1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7" name="Oval 1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8" name="Oval 1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9" name="Oval 1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0" name="Oval 1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1" name="Oval 1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2" name="Oval 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3" name="Oval 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4" name="Oval 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5" name="Oval 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xdr:col>
      <xdr:colOff>1628775</xdr:colOff>
      <xdr:row>1</xdr:row>
      <xdr:rowOff>28575</xdr:rowOff>
    </xdr:from>
    <xdr:to>
      <xdr:col>1</xdr:col>
      <xdr:colOff>2590800</xdr:colOff>
      <xdr:row>2</xdr:row>
      <xdr:rowOff>85725</xdr:rowOff>
    </xdr:to>
    <xdr:pic>
      <xdr:nvPicPr>
        <xdr:cNvPr id="169304" name="5 Imagen" descr="Logo impresos copi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525" t="7150" r="6776" b="7150"/>
        <a:stretch>
          <a:fillRect/>
        </a:stretch>
      </xdr:blipFill>
      <xdr:spPr bwMode="auto">
        <a:xfrm>
          <a:off x="1714500" y="142875"/>
          <a:ext cx="9620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1552575</xdr:colOff>
      <xdr:row>1</xdr:row>
      <xdr:rowOff>9525</xdr:rowOff>
    </xdr:from>
    <xdr:to>
      <xdr:col>1</xdr:col>
      <xdr:colOff>2476500</xdr:colOff>
      <xdr:row>1</xdr:row>
      <xdr:rowOff>942975</xdr:rowOff>
    </xdr:to>
    <xdr:pic>
      <xdr:nvPicPr>
        <xdr:cNvPr id="45" name="5 Imagen" descr="Logo impresos copi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8825" y="123825"/>
          <a:ext cx="923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1219200</xdr:colOff>
      <xdr:row>1</xdr:row>
      <xdr:rowOff>57150</xdr:rowOff>
    </xdr:from>
    <xdr:to>
      <xdr:col>1</xdr:col>
      <xdr:colOff>2028825</xdr:colOff>
      <xdr:row>1</xdr:row>
      <xdr:rowOff>371475</xdr:rowOff>
    </xdr:to>
    <xdr:pic>
      <xdr:nvPicPr>
        <xdr:cNvPr id="141341"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333500" y="20955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866775</xdr:colOff>
      <xdr:row>1</xdr:row>
      <xdr:rowOff>76200</xdr:rowOff>
    </xdr:from>
    <xdr:to>
      <xdr:col>2</xdr:col>
      <xdr:colOff>85725</xdr:colOff>
      <xdr:row>1</xdr:row>
      <xdr:rowOff>895350</xdr:rowOff>
    </xdr:to>
    <xdr:pic>
      <xdr:nvPicPr>
        <xdr:cNvPr id="106524"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990600" y="276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1</xdr:row>
      <xdr:rowOff>76200</xdr:rowOff>
    </xdr:from>
    <xdr:to>
      <xdr:col>2</xdr:col>
      <xdr:colOff>85725</xdr:colOff>
      <xdr:row>1</xdr:row>
      <xdr:rowOff>895350</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990600" y="276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1962150</xdr:colOff>
      <xdr:row>1</xdr:row>
      <xdr:rowOff>76200</xdr:rowOff>
    </xdr:from>
    <xdr:to>
      <xdr:col>1</xdr:col>
      <xdr:colOff>2771775</xdr:colOff>
      <xdr:row>1</xdr:row>
      <xdr:rowOff>895350</xdr:rowOff>
    </xdr:to>
    <xdr:pic>
      <xdr:nvPicPr>
        <xdr:cNvPr id="162940"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2085975" y="2286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1962150</xdr:colOff>
      <xdr:row>1</xdr:row>
      <xdr:rowOff>76200</xdr:rowOff>
    </xdr:from>
    <xdr:to>
      <xdr:col>1</xdr:col>
      <xdr:colOff>2771775</xdr:colOff>
      <xdr:row>1</xdr:row>
      <xdr:rowOff>895350</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2085975" y="2286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1181100</xdr:colOff>
      <xdr:row>1</xdr:row>
      <xdr:rowOff>28575</xdr:rowOff>
    </xdr:from>
    <xdr:to>
      <xdr:col>2</xdr:col>
      <xdr:colOff>95250</xdr:colOff>
      <xdr:row>1</xdr:row>
      <xdr:rowOff>895350</xdr:rowOff>
    </xdr:to>
    <xdr:pic>
      <xdr:nvPicPr>
        <xdr:cNvPr id="160860"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95400" y="104775"/>
          <a:ext cx="8286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1390650</xdr:colOff>
      <xdr:row>1</xdr:row>
      <xdr:rowOff>66675</xdr:rowOff>
    </xdr:from>
    <xdr:to>
      <xdr:col>2</xdr:col>
      <xdr:colOff>76200</xdr:colOff>
      <xdr:row>1</xdr:row>
      <xdr:rowOff>495300</xdr:rowOff>
    </xdr:to>
    <xdr:pic>
      <xdr:nvPicPr>
        <xdr:cNvPr id="153867"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533525" y="266700"/>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1390650</xdr:colOff>
      <xdr:row>1</xdr:row>
      <xdr:rowOff>66675</xdr:rowOff>
    </xdr:from>
    <xdr:to>
      <xdr:col>2</xdr:col>
      <xdr:colOff>821531</xdr:colOff>
      <xdr:row>2</xdr:row>
      <xdr:rowOff>4762</xdr:rowOff>
    </xdr:to>
    <xdr:pic>
      <xdr:nvPicPr>
        <xdr:cNvPr id="113721"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66825" y="219075"/>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1038225</xdr:colOff>
      <xdr:row>1</xdr:row>
      <xdr:rowOff>47625</xdr:rowOff>
    </xdr:from>
    <xdr:to>
      <xdr:col>1</xdr:col>
      <xdr:colOff>1857375</xdr:colOff>
      <xdr:row>1</xdr:row>
      <xdr:rowOff>847725</xdr:rowOff>
    </xdr:to>
    <xdr:pic>
      <xdr:nvPicPr>
        <xdr:cNvPr id="139537"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90625" y="247650"/>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1038225</xdr:colOff>
      <xdr:row>1</xdr:row>
      <xdr:rowOff>47625</xdr:rowOff>
    </xdr:from>
    <xdr:to>
      <xdr:col>1</xdr:col>
      <xdr:colOff>1857375</xdr:colOff>
      <xdr:row>1</xdr:row>
      <xdr:rowOff>847725</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90625" y="247650"/>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1609725</xdr:colOff>
      <xdr:row>1</xdr:row>
      <xdr:rowOff>47625</xdr:rowOff>
    </xdr:from>
    <xdr:to>
      <xdr:col>2</xdr:col>
      <xdr:colOff>829733</xdr:colOff>
      <xdr:row>2</xdr:row>
      <xdr:rowOff>2117</xdr:rowOff>
    </xdr:to>
    <xdr:pic>
      <xdr:nvPicPr>
        <xdr:cNvPr id="160022"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714500" y="2000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1181100</xdr:colOff>
      <xdr:row>0</xdr:row>
      <xdr:rowOff>28575</xdr:rowOff>
    </xdr:from>
    <xdr:to>
      <xdr:col>0</xdr:col>
      <xdr:colOff>2009775</xdr:colOff>
      <xdr:row>1</xdr:row>
      <xdr:rowOff>57150</xdr:rowOff>
    </xdr:to>
    <xdr:pic>
      <xdr:nvPicPr>
        <xdr:cNvPr id="146444"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81100" y="0"/>
          <a:ext cx="828675" cy="1150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1009650</xdr:colOff>
      <xdr:row>0</xdr:row>
      <xdr:rowOff>28575</xdr:rowOff>
    </xdr:from>
    <xdr:to>
      <xdr:col>1</xdr:col>
      <xdr:colOff>990600</xdr:colOff>
      <xdr:row>2</xdr:row>
      <xdr:rowOff>9525</xdr:rowOff>
    </xdr:to>
    <xdr:pic>
      <xdr:nvPicPr>
        <xdr:cNvPr id="165898"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009650" y="28575"/>
          <a:ext cx="13811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0"/>
  <sheetViews>
    <sheetView tabSelected="1" topLeftCell="B1" workbookViewId="0">
      <selection activeCell="B24" sqref="B24"/>
    </sheetView>
  </sheetViews>
  <sheetFormatPr baseColWidth="10" defaultRowHeight="15"/>
  <cols>
    <col min="1" max="1" width="15.140625" style="1" customWidth="1"/>
    <col min="2" max="2" width="67.140625" style="13" customWidth="1"/>
    <col min="3" max="3" width="27.7109375" style="3" customWidth="1"/>
    <col min="4" max="8" width="17.7109375" style="3" hidden="1" customWidth="1"/>
    <col min="9" max="9" width="14.85546875" style="1" hidden="1" customWidth="1"/>
    <col min="10" max="15" width="11.42578125" style="1" customWidth="1"/>
    <col min="16" max="252" width="11.42578125" style="3" customWidth="1"/>
  </cols>
  <sheetData>
    <row r="1" spans="2:252">
      <c r="B1" s="1460"/>
      <c r="C1" s="1461"/>
      <c r="D1" s="2"/>
      <c r="E1" s="2"/>
      <c r="F1" s="2"/>
      <c r="G1" s="2"/>
      <c r="H1" s="2"/>
      <c r="I1" s="3"/>
      <c r="J1" s="3"/>
      <c r="K1" s="3"/>
      <c r="L1" s="3"/>
      <c r="M1" s="3"/>
      <c r="N1" s="3"/>
      <c r="O1" s="3"/>
    </row>
    <row r="2" spans="2:252" ht="18">
      <c r="B2" s="1462" t="s">
        <v>16</v>
      </c>
      <c r="C2" s="1463"/>
      <c r="D2" s="2"/>
      <c r="E2" s="2"/>
      <c r="F2" s="2"/>
      <c r="G2" s="2"/>
      <c r="H2" s="2"/>
    </row>
    <row r="3" spans="2:252">
      <c r="B3" s="1464" t="s">
        <v>1308</v>
      </c>
      <c r="C3" s="1465"/>
      <c r="D3" s="2"/>
      <c r="E3" s="2"/>
      <c r="F3" s="2"/>
      <c r="G3" s="2"/>
      <c r="H3" s="2"/>
    </row>
    <row r="4" spans="2:252">
      <c r="B4" s="4" t="s">
        <v>17</v>
      </c>
      <c r="C4" s="5" t="s">
        <v>18</v>
      </c>
      <c r="D4" s="2"/>
      <c r="E4" s="2"/>
      <c r="F4" s="2"/>
      <c r="G4" s="2"/>
      <c r="H4" s="2"/>
      <c r="I4" s="1" t="s">
        <v>2324</v>
      </c>
    </row>
    <row r="5" spans="2:252" ht="20.25" customHeight="1">
      <c r="B5" s="6" t="s">
        <v>19</v>
      </c>
      <c r="C5" s="22">
        <v>1</v>
      </c>
      <c r="D5" s="2"/>
      <c r="E5" s="2"/>
      <c r="F5" s="2"/>
      <c r="G5" s="2"/>
      <c r="H5" s="2"/>
      <c r="I5" s="22">
        <v>0.95499999999999996</v>
      </c>
    </row>
    <row r="6" spans="2:252" ht="14.25" customHeight="1">
      <c r="B6" s="6" t="s">
        <v>31</v>
      </c>
      <c r="C6" s="22">
        <v>1</v>
      </c>
      <c r="D6" s="2"/>
      <c r="E6" s="2"/>
      <c r="F6" s="2"/>
      <c r="G6" s="2"/>
      <c r="H6" s="2"/>
      <c r="I6" s="22">
        <v>0.99</v>
      </c>
    </row>
    <row r="7" spans="2:252" ht="15" customHeight="1">
      <c r="B7" s="8" t="s">
        <v>32</v>
      </c>
      <c r="C7" s="9"/>
      <c r="D7" s="7"/>
      <c r="E7" s="7"/>
      <c r="F7" s="7"/>
      <c r="G7" s="7"/>
      <c r="H7" s="7"/>
      <c r="I7" s="9"/>
    </row>
    <row r="8" spans="2:252" ht="17.25" customHeight="1">
      <c r="B8" s="6" t="s">
        <v>15</v>
      </c>
      <c r="C8" s="26">
        <v>1</v>
      </c>
      <c r="D8" s="7"/>
      <c r="E8" s="7"/>
      <c r="F8" s="7"/>
      <c r="G8" s="7"/>
      <c r="H8" s="7"/>
      <c r="I8" s="26">
        <v>1</v>
      </c>
    </row>
    <row r="9" spans="2:252" ht="24" customHeight="1">
      <c r="B9" s="6" t="s">
        <v>20</v>
      </c>
      <c r="C9" s="23">
        <v>0.71</v>
      </c>
      <c r="D9" s="7"/>
      <c r="E9" s="7"/>
      <c r="F9" s="7"/>
      <c r="G9" s="7"/>
      <c r="H9" s="7"/>
      <c r="I9" s="23">
        <v>0.96</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ht="24.75" customHeight="1">
      <c r="B10" s="6" t="s">
        <v>21</v>
      </c>
      <c r="C10" s="26">
        <v>0.96</v>
      </c>
      <c r="D10" s="7"/>
      <c r="E10" s="7"/>
      <c r="F10" s="7"/>
      <c r="G10" s="7"/>
      <c r="H10" s="7"/>
      <c r="I10" s="26">
        <v>0.85</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ht="18" customHeight="1">
      <c r="B11" s="8" t="s">
        <v>22</v>
      </c>
      <c r="C11" s="16"/>
      <c r="D11" s="7"/>
      <c r="E11" s="7"/>
      <c r="F11" s="7"/>
      <c r="G11" s="7"/>
      <c r="H11" s="7"/>
      <c r="I11" s="1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ht="27" customHeight="1">
      <c r="B12" s="10" t="s">
        <v>23</v>
      </c>
      <c r="C12" s="26">
        <v>1</v>
      </c>
      <c r="D12" s="7"/>
      <c r="E12" s="7"/>
      <c r="F12" s="7"/>
      <c r="G12" s="7"/>
      <c r="H12" s="7"/>
      <c r="I12" s="26">
        <v>0.96</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ht="21.75" customHeight="1">
      <c r="B13" s="10" t="s">
        <v>35</v>
      </c>
      <c r="C13" s="26"/>
      <c r="D13" s="7"/>
      <c r="E13" s="7"/>
      <c r="F13" s="7"/>
      <c r="G13" s="7"/>
      <c r="H13" s="7"/>
      <c r="I13" s="26">
        <v>0.85</v>
      </c>
      <c r="J13" s="1" t="s">
        <v>3162</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2:252" ht="17.25" customHeight="1">
      <c r="B14" s="10" t="s">
        <v>24</v>
      </c>
      <c r="C14" s="23">
        <v>0.2</v>
      </c>
      <c r="D14" s="7"/>
      <c r="E14" s="7"/>
      <c r="F14" s="7"/>
      <c r="G14" s="7"/>
      <c r="H14" s="7"/>
      <c r="I14" s="23">
        <v>0.7</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2:252" ht="32.25" customHeight="1">
      <c r="B15" s="6" t="s">
        <v>25</v>
      </c>
      <c r="C15" s="25">
        <v>0.83</v>
      </c>
      <c r="D15" s="7"/>
      <c r="E15" s="7"/>
      <c r="F15" s="7"/>
      <c r="G15" s="7"/>
      <c r="H15" s="7"/>
      <c r="I15" s="25">
        <v>0.69</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2:252" ht="19.5" customHeight="1">
      <c r="B16" s="6" t="s">
        <v>26</v>
      </c>
      <c r="C16" s="23">
        <v>0.84</v>
      </c>
      <c r="D16" s="7"/>
      <c r="E16" s="7"/>
      <c r="F16" s="7"/>
      <c r="G16" s="7"/>
      <c r="H16" s="7"/>
      <c r="I16" s="25">
        <v>0.98299999999999998</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ht="22.5" customHeight="1">
      <c r="B17" s="6" t="s">
        <v>27</v>
      </c>
      <c r="C17" s="23">
        <v>0.99</v>
      </c>
      <c r="D17" s="7"/>
      <c r="E17" s="7"/>
      <c r="F17" s="7"/>
      <c r="G17" s="7"/>
      <c r="H17" s="7"/>
      <c r="I17" s="25">
        <v>0.97399999999999998</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B18" s="6" t="s">
        <v>28</v>
      </c>
      <c r="C18" s="26">
        <v>0.99</v>
      </c>
      <c r="D18" s="7"/>
      <c r="E18" s="7"/>
      <c r="F18" s="7"/>
      <c r="G18" s="7"/>
      <c r="H18" s="7"/>
      <c r="I18" s="25">
        <v>0.996</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ht="23.25" customHeight="1">
      <c r="B19" s="6" t="s">
        <v>29</v>
      </c>
      <c r="C19" s="23">
        <v>0.99</v>
      </c>
      <c r="D19" s="7"/>
      <c r="E19" s="7"/>
      <c r="F19" s="7"/>
      <c r="G19" s="7"/>
      <c r="H19" s="7"/>
      <c r="I19" s="25">
        <v>0.99</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ht="24" customHeight="1">
      <c r="B20" s="6" t="s">
        <v>30</v>
      </c>
      <c r="C20" s="26"/>
      <c r="D20" s="7"/>
      <c r="E20" s="7"/>
      <c r="F20" s="7"/>
      <c r="G20" s="7"/>
      <c r="H20" s="7"/>
      <c r="I20" s="25">
        <v>0.98199999999999998</v>
      </c>
      <c r="J20" s="1" t="s">
        <v>3161</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s="43" customFormat="1" ht="24" customHeight="1">
      <c r="A21" s="1"/>
      <c r="B21" s="6" t="s">
        <v>1154</v>
      </c>
      <c r="C21" s="26">
        <v>0.98</v>
      </c>
      <c r="D21" s="15"/>
      <c r="E21" s="15"/>
      <c r="F21" s="15"/>
      <c r="G21" s="15"/>
      <c r="H21" s="15"/>
      <c r="I21" s="25">
        <v>0.96399999999999997</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18" customHeight="1">
      <c r="B22" s="14" t="s">
        <v>1307</v>
      </c>
      <c r="C22" s="11">
        <f>AVERAGE(C5:C21)</f>
        <v>0.88384615384615384</v>
      </c>
      <c r="D22" s="7"/>
      <c r="E22" s="7"/>
      <c r="F22" s="7"/>
      <c r="G22" s="7"/>
      <c r="H22" s="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B23" s="12"/>
      <c r="C23" s="1"/>
      <c r="D23" s="1"/>
      <c r="E23" s="1"/>
      <c r="F23" s="1"/>
      <c r="G23" s="1"/>
      <c r="H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B24" s="12"/>
      <c r="C24" s="1"/>
      <c r="D24" s="1"/>
      <c r="E24" s="1"/>
      <c r="F24" s="1"/>
      <c r="G24" s="1"/>
      <c r="H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B25" s="12"/>
      <c r="C25" s="1"/>
      <c r="D25" s="1"/>
      <c r="E25" s="1"/>
      <c r="F25" s="1"/>
      <c r="G25" s="1"/>
      <c r="H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B26" s="12"/>
      <c r="C26" s="1"/>
      <c r="D26" s="1"/>
      <c r="E26" s="1"/>
      <c r="F26" s="1"/>
      <c r="G26" s="1"/>
      <c r="H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B27" s="12"/>
      <c r="C27" s="1"/>
      <c r="D27" s="1"/>
      <c r="E27" s="1"/>
      <c r="F27" s="1"/>
      <c r="G27" s="1"/>
      <c r="H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B28" s="12"/>
      <c r="C28" s="1"/>
      <c r="D28" s="1"/>
      <c r="E28" s="1"/>
      <c r="F28" s="1"/>
      <c r="G28" s="1"/>
      <c r="H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B29" s="12"/>
      <c r="C29" s="1"/>
      <c r="D29" s="1"/>
      <c r="E29" s="1"/>
      <c r="F29" s="1"/>
      <c r="G29" s="1"/>
      <c r="H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B30" s="12"/>
      <c r="C30" s="1"/>
      <c r="D30" s="1"/>
      <c r="E30" s="1"/>
      <c r="F30" s="1"/>
      <c r="G30" s="1"/>
      <c r="H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B31" s="12"/>
      <c r="C31" s="1"/>
      <c r="D31" s="1"/>
      <c r="E31" s="1"/>
      <c r="F31" s="1"/>
      <c r="G31" s="1"/>
      <c r="H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B32" s="12"/>
      <c r="C32" s="1"/>
      <c r="D32" s="1"/>
      <c r="E32" s="1"/>
      <c r="F32" s="1"/>
      <c r="G32" s="1"/>
      <c r="H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2:252">
      <c r="B33" s="12"/>
      <c r="C33" s="1"/>
      <c r="D33" s="1"/>
      <c r="E33" s="1"/>
      <c r="F33" s="1"/>
      <c r="G33" s="1"/>
      <c r="H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2:252">
      <c r="B34" s="12"/>
      <c r="C34" s="1"/>
      <c r="D34" s="1"/>
      <c r="E34" s="1"/>
      <c r="F34" s="1"/>
      <c r="G34" s="1"/>
      <c r="H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2:252">
      <c r="B35" s="12"/>
      <c r="C35" s="1"/>
      <c r="D35" s="1"/>
      <c r="E35" s="1"/>
      <c r="F35" s="1"/>
      <c r="G35" s="1"/>
      <c r="H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2:252">
      <c r="B36" s="12"/>
      <c r="C36" s="1"/>
      <c r="D36" s="1"/>
      <c r="E36" s="1"/>
      <c r="F36" s="1"/>
      <c r="G36" s="1"/>
      <c r="H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2:252">
      <c r="B37" s="12"/>
      <c r="C37" s="1"/>
      <c r="D37" s="1"/>
      <c r="E37" s="1"/>
      <c r="F37" s="1"/>
      <c r="G37" s="1"/>
      <c r="H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2:252">
      <c r="B38" s="12"/>
      <c r="C38" s="1"/>
      <c r="D38" s="1"/>
      <c r="E38" s="1"/>
      <c r="F38" s="1"/>
      <c r="G38" s="1"/>
      <c r="H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2:252">
      <c r="B39" s="12"/>
      <c r="C39" s="1"/>
      <c r="D39" s="1"/>
      <c r="E39" s="1"/>
      <c r="F39" s="1"/>
      <c r="G39" s="1"/>
      <c r="H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2:252">
      <c r="B40" s="12"/>
      <c r="C40" s="1"/>
      <c r="D40" s="1"/>
      <c r="E40" s="1"/>
      <c r="F40" s="1"/>
      <c r="G40" s="1"/>
      <c r="H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2:252">
      <c r="B41" s="12"/>
      <c r="C41" s="1"/>
      <c r="D41" s="1"/>
      <c r="E41" s="1"/>
      <c r="F41" s="1"/>
      <c r="G41" s="1"/>
      <c r="H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2:252">
      <c r="B42" s="12"/>
      <c r="C42" s="1"/>
      <c r="D42" s="1"/>
      <c r="E42" s="1"/>
      <c r="F42" s="1"/>
      <c r="G42" s="1"/>
      <c r="H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2:252">
      <c r="B43" s="12"/>
      <c r="C43" s="1"/>
      <c r="D43" s="1"/>
      <c r="E43" s="1"/>
      <c r="F43" s="1"/>
      <c r="G43" s="1"/>
      <c r="H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2:252">
      <c r="B44" s="12"/>
      <c r="C44" s="1"/>
      <c r="D44" s="1"/>
      <c r="E44" s="1"/>
      <c r="F44" s="1"/>
      <c r="G44" s="1"/>
      <c r="H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2:252">
      <c r="B45" s="12"/>
      <c r="C45" s="1"/>
      <c r="D45" s="1"/>
      <c r="E45" s="1"/>
      <c r="F45" s="1"/>
      <c r="G45" s="1"/>
      <c r="H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2:252">
      <c r="B46" s="12"/>
      <c r="C46" s="1"/>
      <c r="D46" s="1"/>
      <c r="E46" s="1"/>
      <c r="F46" s="1"/>
      <c r="G46" s="1"/>
      <c r="H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2:252">
      <c r="B47" s="12"/>
      <c r="C47" s="1"/>
      <c r="D47" s="1"/>
      <c r="E47" s="1"/>
      <c r="F47" s="1"/>
      <c r="G47" s="1"/>
      <c r="H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2:252">
      <c r="B48" s="12"/>
      <c r="C48" s="1"/>
      <c r="D48" s="1"/>
      <c r="E48" s="1"/>
      <c r="F48" s="1"/>
      <c r="G48" s="1"/>
      <c r="H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2:252">
      <c r="B49" s="12"/>
      <c r="C49" s="1"/>
      <c r="D49" s="1"/>
      <c r="E49" s="1"/>
      <c r="F49" s="1"/>
      <c r="G49" s="1"/>
      <c r="H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2:252">
      <c r="B50" s="12"/>
      <c r="C50" s="1"/>
      <c r="D50" s="1"/>
      <c r="E50" s="1"/>
      <c r="F50" s="1"/>
      <c r="G50" s="1"/>
      <c r="H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2:252">
      <c r="B51" s="12"/>
      <c r="C51" s="1"/>
      <c r="D51" s="1"/>
      <c r="E51" s="1"/>
      <c r="F51" s="1"/>
      <c r="G51" s="1"/>
      <c r="H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2:252">
      <c r="B52" s="12"/>
      <c r="C52" s="1"/>
      <c r="D52" s="1"/>
      <c r="E52" s="1"/>
      <c r="F52" s="1"/>
      <c r="G52" s="1"/>
      <c r="H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2:252">
      <c r="B53" s="12"/>
      <c r="C53" s="1"/>
      <c r="D53" s="1"/>
      <c r="E53" s="1"/>
      <c r="F53" s="1"/>
      <c r="G53" s="1"/>
      <c r="H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2:252">
      <c r="B54" s="12"/>
      <c r="C54" s="1"/>
      <c r="D54" s="1"/>
      <c r="E54" s="1"/>
      <c r="F54" s="1"/>
      <c r="G54" s="1"/>
      <c r="H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2:252">
      <c r="B55" s="12"/>
      <c r="C55" s="1"/>
      <c r="D55" s="1"/>
      <c r="E55" s="1"/>
      <c r="F55" s="1"/>
      <c r="G55" s="1"/>
      <c r="H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2:252">
      <c r="B56" s="12"/>
      <c r="C56" s="1"/>
      <c r="D56" s="1"/>
      <c r="E56" s="1"/>
      <c r="F56" s="1"/>
      <c r="G56" s="1"/>
      <c r="H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2:252">
      <c r="B57" s="12"/>
      <c r="C57" s="1"/>
      <c r="D57" s="1"/>
      <c r="E57" s="1"/>
      <c r="F57" s="1"/>
      <c r="G57" s="1"/>
      <c r="H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2:252">
      <c r="B58" s="12"/>
      <c r="C58" s="1"/>
      <c r="D58" s="1"/>
      <c r="E58" s="1"/>
      <c r="F58" s="1"/>
      <c r="G58" s="1"/>
      <c r="H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2:252">
      <c r="B59" s="12"/>
      <c r="C59" s="1"/>
      <c r="D59" s="1"/>
      <c r="E59" s="1"/>
      <c r="F59" s="1"/>
      <c r="G59" s="1"/>
      <c r="H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2:252">
      <c r="B60" s="12"/>
      <c r="C60" s="1"/>
      <c r="D60" s="1"/>
      <c r="E60" s="1"/>
      <c r="F60" s="1"/>
      <c r="G60" s="1"/>
      <c r="H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2:252">
      <c r="B61" s="12"/>
      <c r="C61" s="1"/>
      <c r="D61" s="1"/>
      <c r="E61" s="1"/>
      <c r="F61" s="1"/>
      <c r="G61" s="1"/>
      <c r="H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2:252">
      <c r="B62" s="12"/>
      <c r="C62" s="1"/>
      <c r="D62" s="1"/>
      <c r="E62" s="1"/>
      <c r="F62" s="1"/>
      <c r="G62" s="1"/>
      <c r="H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2:252">
      <c r="B63" s="12"/>
      <c r="C63" s="1"/>
      <c r="D63" s="1"/>
      <c r="E63" s="1"/>
      <c r="F63" s="1"/>
      <c r="G63" s="1"/>
      <c r="H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2:252">
      <c r="B64" s="12"/>
      <c r="C64" s="1"/>
      <c r="D64" s="1"/>
      <c r="E64" s="1"/>
      <c r="F64" s="1"/>
      <c r="G64" s="1"/>
      <c r="H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2:252">
      <c r="B65" s="12"/>
      <c r="C65" s="1"/>
      <c r="D65" s="1"/>
      <c r="E65" s="1"/>
      <c r="F65" s="1"/>
      <c r="G65" s="1"/>
      <c r="H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2:252">
      <c r="B66" s="12"/>
      <c r="C66" s="1"/>
      <c r="D66" s="1"/>
      <c r="E66" s="1"/>
      <c r="F66" s="1"/>
      <c r="G66" s="1"/>
      <c r="H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2:252">
      <c r="B67" s="12"/>
      <c r="C67" s="1"/>
      <c r="D67" s="1"/>
      <c r="E67" s="1"/>
      <c r="F67" s="1"/>
      <c r="G67" s="1"/>
      <c r="H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2:252">
      <c r="B68" s="12"/>
      <c r="C68" s="1"/>
      <c r="D68" s="1"/>
      <c r="E68" s="1"/>
      <c r="F68" s="1"/>
      <c r="G68" s="1"/>
      <c r="H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2:252">
      <c r="B69" s="12"/>
      <c r="C69" s="1"/>
      <c r="D69" s="1"/>
      <c r="E69" s="1"/>
      <c r="F69" s="1"/>
      <c r="G69" s="1"/>
      <c r="H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2:252">
      <c r="B70" s="12"/>
      <c r="C70" s="1"/>
      <c r="D70" s="1"/>
      <c r="E70" s="1"/>
      <c r="F70" s="1"/>
      <c r="G70" s="1"/>
      <c r="H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2:252">
      <c r="B71" s="12"/>
      <c r="C71" s="1"/>
      <c r="D71" s="1"/>
      <c r="E71" s="1"/>
      <c r="F71" s="1"/>
      <c r="G71" s="1"/>
      <c r="H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2:252">
      <c r="B72" s="12"/>
      <c r="C72" s="1"/>
      <c r="D72" s="1"/>
      <c r="E72" s="1"/>
      <c r="F72" s="1"/>
      <c r="G72" s="1"/>
      <c r="H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2:252">
      <c r="B73" s="12"/>
      <c r="C73" s="1"/>
      <c r="D73" s="1"/>
      <c r="E73" s="1"/>
      <c r="F73" s="1"/>
      <c r="G73" s="1"/>
      <c r="H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2:252">
      <c r="B74" s="12"/>
      <c r="C74" s="1"/>
      <c r="D74" s="1"/>
      <c r="E74" s="1"/>
      <c r="F74" s="1"/>
      <c r="G74" s="1"/>
      <c r="H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2:252">
      <c r="B75" s="12"/>
      <c r="C75" s="1"/>
      <c r="D75" s="1"/>
      <c r="E75" s="1"/>
      <c r="F75" s="1"/>
      <c r="G75" s="1"/>
      <c r="H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2:252">
      <c r="B76" s="12"/>
      <c r="C76" s="1"/>
      <c r="D76" s="1"/>
      <c r="E76" s="1"/>
      <c r="F76" s="1"/>
      <c r="G76" s="1"/>
      <c r="H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2:252">
      <c r="B77" s="12"/>
      <c r="C77" s="1"/>
      <c r="D77" s="1"/>
      <c r="E77" s="1"/>
      <c r="F77" s="1"/>
      <c r="G77" s="1"/>
      <c r="H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2:252">
      <c r="B78" s="12"/>
      <c r="C78" s="1"/>
      <c r="D78" s="1"/>
      <c r="E78" s="1"/>
      <c r="F78" s="1"/>
      <c r="G78" s="1"/>
      <c r="H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2:252">
      <c r="B79" s="12"/>
      <c r="C79" s="1"/>
      <c r="D79" s="1"/>
      <c r="E79" s="1"/>
      <c r="F79" s="1"/>
      <c r="G79" s="1"/>
      <c r="H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2:252">
      <c r="B80" s="12"/>
      <c r="C80" s="1"/>
      <c r="D80" s="1"/>
      <c r="E80" s="1"/>
      <c r="F80" s="1"/>
      <c r="G80" s="1"/>
      <c r="H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2:252">
      <c r="B81" s="12"/>
      <c r="C81" s="1"/>
      <c r="D81" s="1"/>
      <c r="E81" s="1"/>
      <c r="F81" s="1"/>
      <c r="G81" s="1"/>
      <c r="H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2:252">
      <c r="B82" s="12"/>
      <c r="C82" s="1"/>
      <c r="D82" s="1"/>
      <c r="E82" s="1"/>
      <c r="F82" s="1"/>
      <c r="G82" s="1"/>
      <c r="H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2:252">
      <c r="B83" s="12"/>
      <c r="C83" s="1"/>
      <c r="D83" s="1"/>
      <c r="E83" s="1"/>
      <c r="F83" s="1"/>
      <c r="G83" s="1"/>
      <c r="H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2:252">
      <c r="B84" s="12"/>
      <c r="C84" s="1"/>
      <c r="D84" s="1"/>
      <c r="E84" s="1"/>
      <c r="F84" s="1"/>
      <c r="G84" s="1"/>
      <c r="H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2:252">
      <c r="B85" s="12"/>
      <c r="C85" s="1"/>
      <c r="D85" s="1"/>
      <c r="E85" s="1"/>
      <c r="F85" s="1"/>
      <c r="G85" s="1"/>
      <c r="H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2:252">
      <c r="B86" s="12"/>
      <c r="C86" s="1"/>
      <c r="D86" s="1"/>
      <c r="E86" s="1"/>
      <c r="F86" s="1"/>
      <c r="G86" s="1"/>
      <c r="H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2:252">
      <c r="B87" s="12"/>
      <c r="C87" s="1"/>
      <c r="D87" s="1"/>
      <c r="E87" s="1"/>
      <c r="F87" s="1"/>
      <c r="G87" s="1"/>
      <c r="H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2:252">
      <c r="B88" s="12"/>
      <c r="C88" s="1"/>
      <c r="D88" s="1"/>
      <c r="E88" s="1"/>
      <c r="F88" s="1"/>
      <c r="G88" s="1"/>
      <c r="H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2:252">
      <c r="B89" s="12"/>
      <c r="C89" s="1"/>
      <c r="D89" s="1"/>
      <c r="E89" s="1"/>
      <c r="F89" s="1"/>
      <c r="G89" s="1"/>
      <c r="H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2:252">
      <c r="B90" s="12"/>
      <c r="C90" s="1"/>
      <c r="D90" s="1"/>
      <c r="E90" s="1"/>
      <c r="F90" s="1"/>
      <c r="G90" s="1"/>
      <c r="H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2:252">
      <c r="B91" s="12"/>
      <c r="C91" s="1"/>
      <c r="D91" s="1"/>
      <c r="E91" s="1"/>
      <c r="F91" s="1"/>
      <c r="G91" s="1"/>
      <c r="H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2:252">
      <c r="B92" s="12"/>
      <c r="C92" s="1"/>
      <c r="D92" s="1"/>
      <c r="E92" s="1"/>
      <c r="F92" s="1"/>
      <c r="G92" s="1"/>
      <c r="H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2:252">
      <c r="B93" s="12"/>
      <c r="C93" s="1"/>
      <c r="D93" s="1"/>
      <c r="E93" s="1"/>
      <c r="F93" s="1"/>
      <c r="G93" s="1"/>
      <c r="H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2:252">
      <c r="B94" s="12"/>
      <c r="C94" s="1"/>
      <c r="D94" s="1"/>
      <c r="E94" s="1"/>
      <c r="F94" s="1"/>
      <c r="G94" s="1"/>
      <c r="H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2:252">
      <c r="B95" s="12"/>
      <c r="C95" s="1"/>
      <c r="D95" s="1"/>
      <c r="E95" s="1"/>
      <c r="F95" s="1"/>
      <c r="G95" s="1"/>
      <c r="H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2:252">
      <c r="B96" s="12"/>
      <c r="C96" s="1"/>
      <c r="D96" s="1"/>
      <c r="E96" s="1"/>
      <c r="F96" s="1"/>
      <c r="G96" s="1"/>
      <c r="H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2:252">
      <c r="B97" s="12"/>
      <c r="C97" s="1"/>
      <c r="D97" s="1"/>
      <c r="E97" s="1"/>
      <c r="F97" s="1"/>
      <c r="G97" s="1"/>
      <c r="H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2:252">
      <c r="B98" s="12"/>
      <c r="C98" s="1"/>
      <c r="D98" s="1"/>
      <c r="E98" s="1"/>
      <c r="F98" s="1"/>
      <c r="G98" s="1"/>
      <c r="H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2:252">
      <c r="B99" s="12"/>
      <c r="C99" s="1"/>
      <c r="D99" s="1"/>
      <c r="E99" s="1"/>
      <c r="F99" s="1"/>
      <c r="G99" s="1"/>
      <c r="H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2:252">
      <c r="B100" s="12"/>
      <c r="C100" s="1"/>
      <c r="D100" s="1"/>
      <c r="E100" s="1"/>
      <c r="F100" s="1"/>
      <c r="G100" s="1"/>
      <c r="H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2:252">
      <c r="B101" s="12"/>
      <c r="C101" s="1"/>
      <c r="D101" s="1"/>
      <c r="E101" s="1"/>
      <c r="F101" s="1"/>
      <c r="G101" s="1"/>
      <c r="H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2:252">
      <c r="B102" s="12"/>
      <c r="C102" s="1"/>
      <c r="D102" s="1"/>
      <c r="E102" s="1"/>
      <c r="F102" s="1"/>
      <c r="G102" s="1"/>
      <c r="H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2:252">
      <c r="B103" s="12"/>
      <c r="C103" s="1"/>
      <c r="D103" s="1"/>
      <c r="E103" s="1"/>
      <c r="F103" s="1"/>
      <c r="G103" s="1"/>
      <c r="H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2:252">
      <c r="B104" s="12"/>
      <c r="C104" s="1"/>
      <c r="D104" s="1"/>
      <c r="E104" s="1"/>
      <c r="F104" s="1"/>
      <c r="G104" s="1"/>
      <c r="H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2:252">
      <c r="B105" s="12"/>
      <c r="C105" s="1"/>
      <c r="D105" s="1"/>
      <c r="E105" s="1"/>
      <c r="F105" s="1"/>
      <c r="G105" s="1"/>
      <c r="H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2:252">
      <c r="B106" s="12"/>
      <c r="C106" s="1"/>
      <c r="D106" s="1"/>
      <c r="E106" s="1"/>
      <c r="F106" s="1"/>
      <c r="G106" s="1"/>
      <c r="H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2:252">
      <c r="B107" s="12"/>
      <c r="C107" s="1"/>
      <c r="D107" s="1"/>
      <c r="E107" s="1"/>
      <c r="F107" s="1"/>
      <c r="G107" s="1"/>
      <c r="H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2:252">
      <c r="B108" s="12"/>
      <c r="C108" s="1"/>
      <c r="D108" s="1"/>
      <c r="E108" s="1"/>
      <c r="F108" s="1"/>
      <c r="G108" s="1"/>
      <c r="H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2:252">
      <c r="B109" s="12"/>
      <c r="C109" s="1"/>
      <c r="D109" s="1"/>
      <c r="E109" s="1"/>
      <c r="F109" s="1"/>
      <c r="G109" s="1"/>
      <c r="H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2:252">
      <c r="B110" s="12"/>
      <c r="C110" s="1"/>
      <c r="D110" s="1"/>
      <c r="E110" s="1"/>
      <c r="F110" s="1"/>
      <c r="G110" s="1"/>
      <c r="H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sheetData>
  <mergeCells count="3">
    <mergeCell ref="B1:C1"/>
    <mergeCell ref="B2:C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3"/>
  <sheetViews>
    <sheetView zoomScale="75" zoomScaleNormal="75" workbookViewId="0">
      <pane xSplit="3" ySplit="6" topLeftCell="H7" activePane="bottomRight" state="frozen"/>
      <selection pane="topRight" activeCell="D1" sqref="D1"/>
      <selection pane="bottomLeft" activeCell="A7" sqref="A7"/>
      <selection pane="bottomRight" activeCell="S6" sqref="S6"/>
    </sheetView>
  </sheetViews>
  <sheetFormatPr baseColWidth="10" defaultRowHeight="15"/>
  <cols>
    <col min="1" max="1" width="26.85546875" style="43" customWidth="1"/>
    <col min="2" max="2" width="25.42578125" style="43" customWidth="1"/>
    <col min="3" max="3" width="15.7109375" style="43" customWidth="1"/>
    <col min="4" max="4" width="19" style="43" customWidth="1"/>
    <col min="5" max="5" width="15.85546875" style="43" customWidth="1"/>
    <col min="6" max="7" width="17.28515625" style="43" customWidth="1"/>
    <col min="8" max="8" width="16" style="43" customWidth="1"/>
    <col min="9" max="9" width="16.85546875" style="43" customWidth="1"/>
    <col min="10" max="10" width="15.5703125" style="43" customWidth="1"/>
    <col min="11" max="11" width="16.42578125" style="43" customWidth="1"/>
    <col min="12" max="12" width="18.7109375" style="43" customWidth="1"/>
    <col min="13" max="13" width="15.85546875" style="43" customWidth="1"/>
    <col min="14" max="14" width="19.42578125" style="43" customWidth="1"/>
    <col min="15" max="15" width="22.85546875" style="43" customWidth="1"/>
    <col min="16" max="16" width="22.42578125" style="43" customWidth="1"/>
    <col min="17" max="17" width="18.28515625" style="43" customWidth="1"/>
    <col min="18" max="18" width="22.5703125" style="43" customWidth="1"/>
    <col min="19" max="16384" width="11.42578125" style="43"/>
  </cols>
  <sheetData>
    <row r="1" spans="1:19" ht="9" customHeight="1" thickBot="1">
      <c r="A1" s="1023"/>
      <c r="B1" s="1024"/>
      <c r="C1" s="1466" t="s">
        <v>227</v>
      </c>
      <c r="D1" s="1467"/>
      <c r="E1" s="1467"/>
      <c r="F1" s="1467"/>
      <c r="G1" s="1467"/>
      <c r="H1" s="1467"/>
      <c r="I1" s="1467"/>
      <c r="J1" s="1467"/>
      <c r="K1" s="1467"/>
      <c r="L1" s="1467"/>
      <c r="M1" s="1467"/>
      <c r="N1" s="1467"/>
    </row>
    <row r="2" spans="1:19" ht="91.9" customHeight="1" thickBot="1">
      <c r="A2" s="1468"/>
      <c r="B2" s="1468"/>
      <c r="C2" s="1468"/>
      <c r="D2" s="1468"/>
      <c r="E2" s="1468"/>
      <c r="F2" s="1468"/>
      <c r="G2" s="1468"/>
      <c r="H2" s="1468"/>
      <c r="I2" s="1469" t="s">
        <v>228</v>
      </c>
      <c r="J2" s="1469"/>
      <c r="K2" s="1469"/>
      <c r="L2" s="1469"/>
      <c r="M2" s="1469"/>
      <c r="N2" s="1469"/>
    </row>
    <row r="3" spans="1:19" ht="35.450000000000003" customHeight="1" thickBot="1">
      <c r="A3" s="1470" t="s">
        <v>48</v>
      </c>
      <c r="B3" s="1470" t="s">
        <v>49</v>
      </c>
      <c r="C3" s="1470" t="s">
        <v>229</v>
      </c>
      <c r="D3" s="1470" t="s">
        <v>230</v>
      </c>
      <c r="E3" s="1471" t="s">
        <v>131</v>
      </c>
      <c r="F3" s="1471" t="s">
        <v>231</v>
      </c>
      <c r="G3" s="1472" t="s">
        <v>232</v>
      </c>
      <c r="H3" s="1471" t="s">
        <v>233</v>
      </c>
      <c r="I3" s="1471" t="s">
        <v>234</v>
      </c>
      <c r="J3" s="1471"/>
      <c r="K3" s="1471"/>
      <c r="L3" s="1471"/>
      <c r="M3" s="1474" t="s">
        <v>1306</v>
      </c>
      <c r="N3" s="1475"/>
      <c r="O3" s="1474" t="s">
        <v>1446</v>
      </c>
      <c r="P3" s="1475"/>
      <c r="Q3" s="1474" t="s">
        <v>1447</v>
      </c>
      <c r="R3" s="1475"/>
    </row>
    <row r="4" spans="1:19" ht="31.15" customHeight="1" thickBot="1">
      <c r="A4" s="1470"/>
      <c r="B4" s="1470"/>
      <c r="C4" s="1470"/>
      <c r="D4" s="1470"/>
      <c r="E4" s="1471"/>
      <c r="F4" s="1471"/>
      <c r="G4" s="1472"/>
      <c r="H4" s="1471"/>
      <c r="I4" s="1476" t="s">
        <v>236</v>
      </c>
      <c r="J4" s="1476"/>
      <c r="K4" s="1476" t="s">
        <v>237</v>
      </c>
      <c r="L4" s="1476"/>
      <c r="M4" s="1477" t="s">
        <v>18</v>
      </c>
      <c r="N4" s="1479" t="s">
        <v>71</v>
      </c>
      <c r="O4" s="1477" t="s">
        <v>18</v>
      </c>
      <c r="P4" s="1479" t="s">
        <v>71</v>
      </c>
      <c r="Q4" s="1477" t="s">
        <v>18</v>
      </c>
      <c r="R4" s="1479" t="s">
        <v>71</v>
      </c>
    </row>
    <row r="5" spans="1:19" ht="33" customHeight="1" thickBot="1">
      <c r="A5" s="1470"/>
      <c r="B5" s="1470"/>
      <c r="C5" s="1470"/>
      <c r="D5" s="1025" t="s">
        <v>238</v>
      </c>
      <c r="E5" s="1471"/>
      <c r="F5" s="1471"/>
      <c r="G5" s="1472"/>
      <c r="H5" s="1473"/>
      <c r="I5" s="1026" t="s">
        <v>239</v>
      </c>
      <c r="J5" s="1026" t="s">
        <v>240</v>
      </c>
      <c r="K5" s="1026" t="s">
        <v>239</v>
      </c>
      <c r="L5" s="1026" t="s">
        <v>240</v>
      </c>
      <c r="M5" s="1478"/>
      <c r="N5" s="1480"/>
      <c r="O5" s="1478"/>
      <c r="P5" s="1480"/>
      <c r="Q5" s="1478"/>
      <c r="R5" s="1480"/>
      <c r="S5" s="43" t="s">
        <v>2323</v>
      </c>
    </row>
    <row r="6" spans="1:19" ht="89.25" customHeight="1">
      <c r="A6" s="1483" t="s">
        <v>241</v>
      </c>
      <c r="B6" s="1485">
        <v>650000000</v>
      </c>
      <c r="C6" s="1027" t="s">
        <v>242</v>
      </c>
      <c r="D6" s="1028" t="s">
        <v>37</v>
      </c>
      <c r="E6" s="1029" t="s">
        <v>243</v>
      </c>
      <c r="F6" s="1030">
        <v>610000000</v>
      </c>
      <c r="G6" s="1486" t="s">
        <v>7</v>
      </c>
      <c r="H6" s="1488" t="s">
        <v>7</v>
      </c>
      <c r="I6" s="1490" t="s">
        <v>37</v>
      </c>
      <c r="J6" s="1490" t="s">
        <v>37</v>
      </c>
      <c r="K6" s="1490" t="s">
        <v>244</v>
      </c>
      <c r="L6" s="1490" t="s">
        <v>245</v>
      </c>
      <c r="M6" s="1492">
        <v>193865117</v>
      </c>
      <c r="N6" s="1494"/>
      <c r="O6" s="1492">
        <v>296439749</v>
      </c>
      <c r="P6" s="1494"/>
      <c r="Q6" s="1492">
        <v>49060751</v>
      </c>
      <c r="R6" s="1481" t="s">
        <v>2006</v>
      </c>
      <c r="S6" s="43" t="s">
        <v>2322</v>
      </c>
    </row>
    <row r="7" spans="1:19" ht="39" customHeight="1" thickBot="1">
      <c r="A7" s="1483"/>
      <c r="B7" s="1485"/>
      <c r="C7" s="1027" t="s">
        <v>242</v>
      </c>
      <c r="D7" s="1028" t="s">
        <v>37</v>
      </c>
      <c r="E7" s="1031" t="s">
        <v>246</v>
      </c>
      <c r="F7" s="1032">
        <v>40000000</v>
      </c>
      <c r="G7" s="1487"/>
      <c r="H7" s="1489"/>
      <c r="I7" s="1491"/>
      <c r="J7" s="1491"/>
      <c r="K7" s="1491"/>
      <c r="L7" s="1491"/>
      <c r="M7" s="1493"/>
      <c r="N7" s="1493"/>
      <c r="O7" s="1493"/>
      <c r="P7" s="1493"/>
      <c r="Q7" s="1493"/>
      <c r="R7" s="1482"/>
    </row>
    <row r="8" spans="1:19" ht="92.25" customHeight="1" thickBot="1">
      <c r="A8" s="1033" t="s">
        <v>247</v>
      </c>
      <c r="B8" s="1034">
        <v>1200000000</v>
      </c>
      <c r="C8" s="1027" t="s">
        <v>242</v>
      </c>
      <c r="D8" s="1027" t="s">
        <v>37</v>
      </c>
      <c r="E8" s="1035" t="s">
        <v>248</v>
      </c>
      <c r="F8" s="1036">
        <v>1063000000</v>
      </c>
      <c r="G8" s="1037" t="s">
        <v>7</v>
      </c>
      <c r="H8" s="1037" t="s">
        <v>7</v>
      </c>
      <c r="I8" s="1038" t="s">
        <v>37</v>
      </c>
      <c r="J8" s="1039" t="s">
        <v>37</v>
      </c>
      <c r="K8" s="1040" t="s">
        <v>244</v>
      </c>
      <c r="L8" s="1041" t="s">
        <v>249</v>
      </c>
      <c r="M8" s="1042">
        <v>531459864</v>
      </c>
      <c r="N8" s="1043"/>
      <c r="O8" s="1042">
        <v>1009532452</v>
      </c>
      <c r="P8" s="1043"/>
      <c r="Q8" s="1042">
        <v>163125918</v>
      </c>
      <c r="R8" s="1044" t="s">
        <v>2007</v>
      </c>
      <c r="S8" s="43" t="s">
        <v>2322</v>
      </c>
    </row>
    <row r="9" spans="1:19" ht="25.15" customHeight="1" thickBot="1">
      <c r="A9" s="1483" t="s">
        <v>250</v>
      </c>
      <c r="B9" s="1034">
        <v>850000000</v>
      </c>
      <c r="C9" s="1027" t="s">
        <v>242</v>
      </c>
      <c r="D9" s="1028" t="s">
        <v>37</v>
      </c>
      <c r="E9" s="1045" t="s">
        <v>251</v>
      </c>
      <c r="F9" s="1046">
        <v>927000000</v>
      </c>
      <c r="G9" s="1037" t="s">
        <v>7</v>
      </c>
      <c r="H9" s="1047" t="s">
        <v>11</v>
      </c>
      <c r="I9" s="1048" t="s">
        <v>37</v>
      </c>
      <c r="J9" s="1039" t="s">
        <v>37</v>
      </c>
      <c r="K9" s="1040" t="s">
        <v>252</v>
      </c>
      <c r="L9" s="1049">
        <v>927000000</v>
      </c>
      <c r="M9" s="1050" t="s">
        <v>2008</v>
      </c>
      <c r="N9" s="1051"/>
      <c r="O9" s="1050" t="s">
        <v>2008</v>
      </c>
      <c r="P9" s="1051"/>
      <c r="Q9" s="1052">
        <v>892016675</v>
      </c>
      <c r="R9" s="1053" t="s">
        <v>2007</v>
      </c>
      <c r="S9" s="43" t="s">
        <v>2322</v>
      </c>
    </row>
    <row r="10" spans="1:19" ht="70.5" customHeight="1" thickBot="1">
      <c r="A10" s="1483"/>
      <c r="B10" s="1034">
        <v>360000000</v>
      </c>
      <c r="C10" s="1027" t="s">
        <v>242</v>
      </c>
      <c r="D10" s="1027" t="s">
        <v>37</v>
      </c>
      <c r="E10" s="1035" t="s">
        <v>253</v>
      </c>
      <c r="F10" s="1036">
        <v>360000000</v>
      </c>
      <c r="G10" s="1037" t="s">
        <v>11</v>
      </c>
      <c r="H10" s="1047" t="s">
        <v>11</v>
      </c>
      <c r="I10" s="1039" t="s">
        <v>5</v>
      </c>
      <c r="J10" s="1054">
        <v>150000000</v>
      </c>
      <c r="K10" s="1040" t="s">
        <v>36</v>
      </c>
      <c r="L10" s="1055">
        <v>360000000</v>
      </c>
      <c r="M10" s="1050" t="s">
        <v>2009</v>
      </c>
      <c r="N10" s="1056" t="s">
        <v>2010</v>
      </c>
      <c r="O10" s="1057">
        <v>360000000</v>
      </c>
      <c r="P10" s="1056"/>
      <c r="Q10" s="1057">
        <v>360000000</v>
      </c>
      <c r="R10" s="1053" t="s">
        <v>2007</v>
      </c>
      <c r="S10" s="43" t="s">
        <v>2322</v>
      </c>
    </row>
    <row r="11" spans="1:19" ht="90" thickBot="1">
      <c r="A11" s="1484"/>
      <c r="B11" s="1058">
        <v>4000000000</v>
      </c>
      <c r="C11" s="1059" t="s">
        <v>242</v>
      </c>
      <c r="D11" s="1059" t="s">
        <v>37</v>
      </c>
      <c r="E11" s="1060" t="s">
        <v>254</v>
      </c>
      <c r="F11" s="1061">
        <v>4000000000</v>
      </c>
      <c r="G11" s="1062" t="s">
        <v>68</v>
      </c>
      <c r="H11" s="1037" t="s">
        <v>145</v>
      </c>
      <c r="I11" s="1063" t="s">
        <v>70</v>
      </c>
      <c r="J11" s="1064">
        <v>2000000000</v>
      </c>
      <c r="K11" s="1065" t="s">
        <v>91</v>
      </c>
      <c r="L11" s="1066">
        <v>4000000000</v>
      </c>
      <c r="M11" s="1067" t="s">
        <v>2011</v>
      </c>
      <c r="N11" s="1056" t="s">
        <v>2012</v>
      </c>
      <c r="O11" s="1067" t="s">
        <v>2011</v>
      </c>
      <c r="P11" s="1056" t="s">
        <v>2012</v>
      </c>
      <c r="Q11" s="1067" t="s">
        <v>2011</v>
      </c>
      <c r="R11" s="1067" t="s">
        <v>2012</v>
      </c>
      <c r="S11" s="1220" t="s">
        <v>72</v>
      </c>
    </row>
    <row r="12" spans="1:19" ht="26.45" customHeight="1">
      <c r="A12" s="44"/>
      <c r="B12" s="44"/>
      <c r="C12" s="44"/>
      <c r="D12" s="44"/>
      <c r="E12" s="44"/>
      <c r="F12" s="44"/>
      <c r="G12" s="44"/>
      <c r="H12" s="44"/>
      <c r="I12" s="44"/>
      <c r="J12" s="44"/>
      <c r="K12" s="44"/>
      <c r="L12" s="44"/>
      <c r="M12" s="44"/>
      <c r="N12" s="44"/>
    </row>
    <row r="13" spans="1:19" ht="79.5" customHeight="1">
      <c r="A13" s="44"/>
      <c r="B13" s="65" t="e">
        <f>+#REF!</f>
        <v>#REF!</v>
      </c>
      <c r="C13" s="44"/>
      <c r="D13" s="44"/>
      <c r="E13" s="44"/>
      <c r="F13" s="65"/>
      <c r="G13" s="44"/>
      <c r="H13" s="44"/>
      <c r="I13" s="44"/>
      <c r="J13" s="44"/>
      <c r="K13" s="44"/>
      <c r="L13" s="44"/>
      <c r="M13" s="44"/>
      <c r="N13" s="44"/>
    </row>
  </sheetData>
  <mergeCells count="38">
    <mergeCell ref="R6:R7"/>
    <mergeCell ref="A9:A11"/>
    <mergeCell ref="A6:A7"/>
    <mergeCell ref="B6:B7"/>
    <mergeCell ref="G6:G7"/>
    <mergeCell ref="H6:H7"/>
    <mergeCell ref="I6:I7"/>
    <mergeCell ref="J6:J7"/>
    <mergeCell ref="K6:K7"/>
    <mergeCell ref="L6:L7"/>
    <mergeCell ref="M6:M7"/>
    <mergeCell ref="N6:N7"/>
    <mergeCell ref="O6:O7"/>
    <mergeCell ref="P6:P7"/>
    <mergeCell ref="Q6:Q7"/>
    <mergeCell ref="O3:P3"/>
    <mergeCell ref="Q3:R3"/>
    <mergeCell ref="I4:J4"/>
    <mergeCell ref="K4:L4"/>
    <mergeCell ref="M4:M5"/>
    <mergeCell ref="N4:N5"/>
    <mergeCell ref="O4:O5"/>
    <mergeCell ref="P4:P5"/>
    <mergeCell ref="Q4:Q5"/>
    <mergeCell ref="R4:R5"/>
    <mergeCell ref="C1:N1"/>
    <mergeCell ref="A2:H2"/>
    <mergeCell ref="I2:N2"/>
    <mergeCell ref="A3:A5"/>
    <mergeCell ref="B3:B5"/>
    <mergeCell ref="C3:C5"/>
    <mergeCell ref="D3:D4"/>
    <mergeCell ref="E3:E5"/>
    <mergeCell ref="F3:F5"/>
    <mergeCell ref="G3:G5"/>
    <mergeCell ref="H3:H5"/>
    <mergeCell ref="I3:L3"/>
    <mergeCell ref="M3:N3"/>
  </mergeCells>
  <dataValidations count="4">
    <dataValidation allowBlank="1" showErrorMessage="1" sqref="E65400:E65407 E9:E10"/>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F65400:F65407 F8:F9"/>
    <dataValidation type="whole" allowBlank="1" showInputMessage="1" showErrorMessage="1" errorTitle="Valor Asignado" error="Sólo se pueden introducir números en esta celda" promptTitle="Valor Asignado" prompt=" " sqref="C65400:D65407 IC65400:IV65407 IC8:IV9 D9:D10 C9">
      <formula1>0</formula1>
      <formula2>83000000000</formula2>
    </dataValidation>
    <dataValidation allowBlank="1" showInputMessage="1" showErrorMessage="1" promptTitle="Unidad de Negocio" prompt="Nivel Central_x000a_Aeropuerto_x000a_Regional_x000a_" sqref="B65400:B65407 IB65400:IB65407 IB8:IB9 B9:B1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X62"/>
  <sheetViews>
    <sheetView zoomScale="70" zoomScaleNormal="70" workbookViewId="0">
      <pane xSplit="3" ySplit="6" topLeftCell="R48" activePane="bottomRight" state="frozen"/>
      <selection pane="topRight" activeCell="D1" sqref="D1"/>
      <selection pane="bottomLeft" activeCell="A7" sqref="A7"/>
      <selection pane="bottomRight" activeCell="Y50" sqref="Y50"/>
    </sheetView>
  </sheetViews>
  <sheetFormatPr baseColWidth="10" defaultColWidth="11.5703125" defaultRowHeight="12.75"/>
  <cols>
    <col min="1" max="1" width="7.140625" style="48" customWidth="1"/>
    <col min="2" max="2" width="40.5703125" style="48" customWidth="1"/>
    <col min="3" max="3" width="25.28515625" style="48" bestFit="1" customWidth="1"/>
    <col min="4" max="4" width="25.28515625" style="48" customWidth="1"/>
    <col min="5" max="5" width="19.5703125" style="48" customWidth="1"/>
    <col min="6" max="6" width="31.5703125" style="48" customWidth="1"/>
    <col min="7" max="7" width="36.5703125" style="48" customWidth="1"/>
    <col min="8" max="8" width="21.7109375" style="48" bestFit="1" customWidth="1"/>
    <col min="9" max="9" width="21" style="48" customWidth="1"/>
    <col min="10" max="10" width="16.28515625" style="48" customWidth="1"/>
    <col min="11" max="11" width="11.28515625" style="48" bestFit="1" customWidth="1"/>
    <col min="12" max="12" width="8" style="48" customWidth="1"/>
    <col min="13" max="13" width="17.7109375" style="48" bestFit="1" customWidth="1"/>
    <col min="14" max="14" width="5.7109375" style="48" bestFit="1" customWidth="1"/>
    <col min="15" max="15" width="34.28515625" style="48" customWidth="1"/>
    <col min="16" max="16" width="14.85546875" style="48" customWidth="1"/>
    <col min="17" max="17" width="39.85546875" style="48" customWidth="1"/>
    <col min="18" max="18" width="34.28515625" style="48" customWidth="1"/>
    <col min="19" max="19" width="14.85546875" style="48" customWidth="1"/>
    <col min="20" max="20" width="39.85546875" style="48" customWidth="1"/>
    <col min="21" max="21" width="34.28515625" style="796" customWidth="1"/>
    <col min="22" max="22" width="35" style="48" customWidth="1"/>
    <col min="23" max="23" width="39.85546875" style="48" customWidth="1"/>
    <col min="24" max="256" width="11.5703125" style="48"/>
    <col min="257" max="257" width="7.140625" style="48" customWidth="1"/>
    <col min="258" max="258" width="40.5703125" style="48" customWidth="1"/>
    <col min="259" max="259" width="25.28515625" style="48" bestFit="1" customWidth="1"/>
    <col min="260" max="260" width="0" style="48" hidden="1" customWidth="1"/>
    <col min="261" max="261" width="19.5703125" style="48" customWidth="1"/>
    <col min="262" max="262" width="0" style="48" hidden="1" customWidth="1"/>
    <col min="263" max="263" width="36.5703125" style="48" customWidth="1"/>
    <col min="264" max="264" width="21.7109375" style="48" bestFit="1" customWidth="1"/>
    <col min="265" max="265" width="21" style="48" customWidth="1"/>
    <col min="266" max="266" width="16.28515625" style="48" customWidth="1"/>
    <col min="267" max="267" width="11.28515625" style="48" bestFit="1" customWidth="1"/>
    <col min="268" max="268" width="8" style="48" customWidth="1"/>
    <col min="269" max="269" width="17.7109375" style="48" bestFit="1" customWidth="1"/>
    <col min="270" max="270" width="5.7109375" style="48" bestFit="1" customWidth="1"/>
    <col min="271" max="271" width="34.28515625" style="48" customWidth="1"/>
    <col min="272" max="272" width="14.85546875" style="48" customWidth="1"/>
    <col min="273" max="273" width="39.85546875" style="48" customWidth="1"/>
    <col min="274" max="274" width="34.28515625" style="48" customWidth="1"/>
    <col min="275" max="275" width="14.85546875" style="48" customWidth="1"/>
    <col min="276" max="276" width="39.85546875" style="48" customWidth="1"/>
    <col min="277" max="277" width="34.28515625" style="48" customWidth="1"/>
    <col min="278" max="278" width="35" style="48" customWidth="1"/>
    <col min="279" max="279" width="39.85546875" style="48" customWidth="1"/>
    <col min="280" max="512" width="11.5703125" style="48"/>
    <col min="513" max="513" width="7.140625" style="48" customWidth="1"/>
    <col min="514" max="514" width="40.5703125" style="48" customWidth="1"/>
    <col min="515" max="515" width="25.28515625" style="48" bestFit="1" customWidth="1"/>
    <col min="516" max="516" width="0" style="48" hidden="1" customWidth="1"/>
    <col min="517" max="517" width="19.5703125" style="48" customWidth="1"/>
    <col min="518" max="518" width="0" style="48" hidden="1" customWidth="1"/>
    <col min="519" max="519" width="36.5703125" style="48" customWidth="1"/>
    <col min="520" max="520" width="21.7109375" style="48" bestFit="1" customWidth="1"/>
    <col min="521" max="521" width="21" style="48" customWidth="1"/>
    <col min="522" max="522" width="16.28515625" style="48" customWidth="1"/>
    <col min="523" max="523" width="11.28515625" style="48" bestFit="1" customWidth="1"/>
    <col min="524" max="524" width="8" style="48" customWidth="1"/>
    <col min="525" max="525" width="17.7109375" style="48" bestFit="1" customWidth="1"/>
    <col min="526" max="526" width="5.7109375" style="48" bestFit="1" customWidth="1"/>
    <col min="527" max="527" width="34.28515625" style="48" customWidth="1"/>
    <col min="528" max="528" width="14.85546875" style="48" customWidth="1"/>
    <col min="529" max="529" width="39.85546875" style="48" customWidth="1"/>
    <col min="530" max="530" width="34.28515625" style="48" customWidth="1"/>
    <col min="531" max="531" width="14.85546875" style="48" customWidth="1"/>
    <col min="532" max="532" width="39.85546875" style="48" customWidth="1"/>
    <col min="533" max="533" width="34.28515625" style="48" customWidth="1"/>
    <col min="534" max="534" width="35" style="48" customWidth="1"/>
    <col min="535" max="535" width="39.85546875" style="48" customWidth="1"/>
    <col min="536" max="768" width="11.5703125" style="48"/>
    <col min="769" max="769" width="7.140625" style="48" customWidth="1"/>
    <col min="770" max="770" width="40.5703125" style="48" customWidth="1"/>
    <col min="771" max="771" width="25.28515625" style="48" bestFit="1" customWidth="1"/>
    <col min="772" max="772" width="0" style="48" hidden="1" customWidth="1"/>
    <col min="773" max="773" width="19.5703125" style="48" customWidth="1"/>
    <col min="774" max="774" width="0" style="48" hidden="1" customWidth="1"/>
    <col min="775" max="775" width="36.5703125" style="48" customWidth="1"/>
    <col min="776" max="776" width="21.7109375" style="48" bestFit="1" customWidth="1"/>
    <col min="777" max="777" width="21" style="48" customWidth="1"/>
    <col min="778" max="778" width="16.28515625" style="48" customWidth="1"/>
    <col min="779" max="779" width="11.28515625" style="48" bestFit="1" customWidth="1"/>
    <col min="780" max="780" width="8" style="48" customWidth="1"/>
    <col min="781" max="781" width="17.7109375" style="48" bestFit="1" customWidth="1"/>
    <col min="782" max="782" width="5.7109375" style="48" bestFit="1" customWidth="1"/>
    <col min="783" max="783" width="34.28515625" style="48" customWidth="1"/>
    <col min="784" max="784" width="14.85546875" style="48" customWidth="1"/>
    <col min="785" max="785" width="39.85546875" style="48" customWidth="1"/>
    <col min="786" max="786" width="34.28515625" style="48" customWidth="1"/>
    <col min="787" max="787" width="14.85546875" style="48" customWidth="1"/>
    <col min="788" max="788" width="39.85546875" style="48" customWidth="1"/>
    <col min="789" max="789" width="34.28515625" style="48" customWidth="1"/>
    <col min="790" max="790" width="35" style="48" customWidth="1"/>
    <col min="791" max="791" width="39.85546875" style="48" customWidth="1"/>
    <col min="792" max="1024" width="11.5703125" style="48"/>
    <col min="1025" max="1025" width="7.140625" style="48" customWidth="1"/>
    <col min="1026" max="1026" width="40.5703125" style="48" customWidth="1"/>
    <col min="1027" max="1027" width="25.28515625" style="48" bestFit="1" customWidth="1"/>
    <col min="1028" max="1028" width="0" style="48" hidden="1" customWidth="1"/>
    <col min="1029" max="1029" width="19.5703125" style="48" customWidth="1"/>
    <col min="1030" max="1030" width="0" style="48" hidden="1" customWidth="1"/>
    <col min="1031" max="1031" width="36.5703125" style="48" customWidth="1"/>
    <col min="1032" max="1032" width="21.7109375" style="48" bestFit="1" customWidth="1"/>
    <col min="1033" max="1033" width="21" style="48" customWidth="1"/>
    <col min="1034" max="1034" width="16.28515625" style="48" customWidth="1"/>
    <col min="1035" max="1035" width="11.28515625" style="48" bestFit="1" customWidth="1"/>
    <col min="1036" max="1036" width="8" style="48" customWidth="1"/>
    <col min="1037" max="1037" width="17.7109375" style="48" bestFit="1" customWidth="1"/>
    <col min="1038" max="1038" width="5.7109375" style="48" bestFit="1" customWidth="1"/>
    <col min="1039" max="1039" width="34.28515625" style="48" customWidth="1"/>
    <col min="1040" max="1040" width="14.85546875" style="48" customWidth="1"/>
    <col min="1041" max="1041" width="39.85546875" style="48" customWidth="1"/>
    <col min="1042" max="1042" width="34.28515625" style="48" customWidth="1"/>
    <col min="1043" max="1043" width="14.85546875" style="48" customWidth="1"/>
    <col min="1044" max="1044" width="39.85546875" style="48" customWidth="1"/>
    <col min="1045" max="1045" width="34.28515625" style="48" customWidth="1"/>
    <col min="1046" max="1046" width="35" style="48" customWidth="1"/>
    <col min="1047" max="1047" width="39.85546875" style="48" customWidth="1"/>
    <col min="1048" max="1280" width="11.5703125" style="48"/>
    <col min="1281" max="1281" width="7.140625" style="48" customWidth="1"/>
    <col min="1282" max="1282" width="40.5703125" style="48" customWidth="1"/>
    <col min="1283" max="1283" width="25.28515625" style="48" bestFit="1" customWidth="1"/>
    <col min="1284" max="1284" width="0" style="48" hidden="1" customWidth="1"/>
    <col min="1285" max="1285" width="19.5703125" style="48" customWidth="1"/>
    <col min="1286" max="1286" width="0" style="48" hidden="1" customWidth="1"/>
    <col min="1287" max="1287" width="36.5703125" style="48" customWidth="1"/>
    <col min="1288" max="1288" width="21.7109375" style="48" bestFit="1" customWidth="1"/>
    <col min="1289" max="1289" width="21" style="48" customWidth="1"/>
    <col min="1290" max="1290" width="16.28515625" style="48" customWidth="1"/>
    <col min="1291" max="1291" width="11.28515625" style="48" bestFit="1" customWidth="1"/>
    <col min="1292" max="1292" width="8" style="48" customWidth="1"/>
    <col min="1293" max="1293" width="17.7109375" style="48" bestFit="1" customWidth="1"/>
    <col min="1294" max="1294" width="5.7109375" style="48" bestFit="1" customWidth="1"/>
    <col min="1295" max="1295" width="34.28515625" style="48" customWidth="1"/>
    <col min="1296" max="1296" width="14.85546875" style="48" customWidth="1"/>
    <col min="1297" max="1297" width="39.85546875" style="48" customWidth="1"/>
    <col min="1298" max="1298" width="34.28515625" style="48" customWidth="1"/>
    <col min="1299" max="1299" width="14.85546875" style="48" customWidth="1"/>
    <col min="1300" max="1300" width="39.85546875" style="48" customWidth="1"/>
    <col min="1301" max="1301" width="34.28515625" style="48" customWidth="1"/>
    <col min="1302" max="1302" width="35" style="48" customWidth="1"/>
    <col min="1303" max="1303" width="39.85546875" style="48" customWidth="1"/>
    <col min="1304" max="1536" width="11.5703125" style="48"/>
    <col min="1537" max="1537" width="7.140625" style="48" customWidth="1"/>
    <col min="1538" max="1538" width="40.5703125" style="48" customWidth="1"/>
    <col min="1539" max="1539" width="25.28515625" style="48" bestFit="1" customWidth="1"/>
    <col min="1540" max="1540" width="0" style="48" hidden="1" customWidth="1"/>
    <col min="1541" max="1541" width="19.5703125" style="48" customWidth="1"/>
    <col min="1542" max="1542" width="0" style="48" hidden="1" customWidth="1"/>
    <col min="1543" max="1543" width="36.5703125" style="48" customWidth="1"/>
    <col min="1544" max="1544" width="21.7109375" style="48" bestFit="1" customWidth="1"/>
    <col min="1545" max="1545" width="21" style="48" customWidth="1"/>
    <col min="1546" max="1546" width="16.28515625" style="48" customWidth="1"/>
    <col min="1547" max="1547" width="11.28515625" style="48" bestFit="1" customWidth="1"/>
    <col min="1548" max="1548" width="8" style="48" customWidth="1"/>
    <col min="1549" max="1549" width="17.7109375" style="48" bestFit="1" customWidth="1"/>
    <col min="1550" max="1550" width="5.7109375" style="48" bestFit="1" customWidth="1"/>
    <col min="1551" max="1551" width="34.28515625" style="48" customWidth="1"/>
    <col min="1552" max="1552" width="14.85546875" style="48" customWidth="1"/>
    <col min="1553" max="1553" width="39.85546875" style="48" customWidth="1"/>
    <col min="1554" max="1554" width="34.28515625" style="48" customWidth="1"/>
    <col min="1555" max="1555" width="14.85546875" style="48" customWidth="1"/>
    <col min="1556" max="1556" width="39.85546875" style="48" customWidth="1"/>
    <col min="1557" max="1557" width="34.28515625" style="48" customWidth="1"/>
    <col min="1558" max="1558" width="35" style="48" customWidth="1"/>
    <col min="1559" max="1559" width="39.85546875" style="48" customWidth="1"/>
    <col min="1560" max="1792" width="11.5703125" style="48"/>
    <col min="1793" max="1793" width="7.140625" style="48" customWidth="1"/>
    <col min="1794" max="1794" width="40.5703125" style="48" customWidth="1"/>
    <col min="1795" max="1795" width="25.28515625" style="48" bestFit="1" customWidth="1"/>
    <col min="1796" max="1796" width="0" style="48" hidden="1" customWidth="1"/>
    <col min="1797" max="1797" width="19.5703125" style="48" customWidth="1"/>
    <col min="1798" max="1798" width="0" style="48" hidden="1" customWidth="1"/>
    <col min="1799" max="1799" width="36.5703125" style="48" customWidth="1"/>
    <col min="1800" max="1800" width="21.7109375" style="48" bestFit="1" customWidth="1"/>
    <col min="1801" max="1801" width="21" style="48" customWidth="1"/>
    <col min="1802" max="1802" width="16.28515625" style="48" customWidth="1"/>
    <col min="1803" max="1803" width="11.28515625" style="48" bestFit="1" customWidth="1"/>
    <col min="1804" max="1804" width="8" style="48" customWidth="1"/>
    <col min="1805" max="1805" width="17.7109375" style="48" bestFit="1" customWidth="1"/>
    <col min="1806" max="1806" width="5.7109375" style="48" bestFit="1" customWidth="1"/>
    <col min="1807" max="1807" width="34.28515625" style="48" customWidth="1"/>
    <col min="1808" max="1808" width="14.85546875" style="48" customWidth="1"/>
    <col min="1809" max="1809" width="39.85546875" style="48" customWidth="1"/>
    <col min="1810" max="1810" width="34.28515625" style="48" customWidth="1"/>
    <col min="1811" max="1811" width="14.85546875" style="48" customWidth="1"/>
    <col min="1812" max="1812" width="39.85546875" style="48" customWidth="1"/>
    <col min="1813" max="1813" width="34.28515625" style="48" customWidth="1"/>
    <col min="1814" max="1814" width="35" style="48" customWidth="1"/>
    <col min="1815" max="1815" width="39.85546875" style="48" customWidth="1"/>
    <col min="1816" max="2048" width="11.5703125" style="48"/>
    <col min="2049" max="2049" width="7.140625" style="48" customWidth="1"/>
    <col min="2050" max="2050" width="40.5703125" style="48" customWidth="1"/>
    <col min="2051" max="2051" width="25.28515625" style="48" bestFit="1" customWidth="1"/>
    <col min="2052" max="2052" width="0" style="48" hidden="1" customWidth="1"/>
    <col min="2053" max="2053" width="19.5703125" style="48" customWidth="1"/>
    <col min="2054" max="2054" width="0" style="48" hidden="1" customWidth="1"/>
    <col min="2055" max="2055" width="36.5703125" style="48" customWidth="1"/>
    <col min="2056" max="2056" width="21.7109375" style="48" bestFit="1" customWidth="1"/>
    <col min="2057" max="2057" width="21" style="48" customWidth="1"/>
    <col min="2058" max="2058" width="16.28515625" style="48" customWidth="1"/>
    <col min="2059" max="2059" width="11.28515625" style="48" bestFit="1" customWidth="1"/>
    <col min="2060" max="2060" width="8" style="48" customWidth="1"/>
    <col min="2061" max="2061" width="17.7109375" style="48" bestFit="1" customWidth="1"/>
    <col min="2062" max="2062" width="5.7109375" style="48" bestFit="1" customWidth="1"/>
    <col min="2063" max="2063" width="34.28515625" style="48" customWidth="1"/>
    <col min="2064" max="2064" width="14.85546875" style="48" customWidth="1"/>
    <col min="2065" max="2065" width="39.85546875" style="48" customWidth="1"/>
    <col min="2066" max="2066" width="34.28515625" style="48" customWidth="1"/>
    <col min="2067" max="2067" width="14.85546875" style="48" customWidth="1"/>
    <col min="2068" max="2068" width="39.85546875" style="48" customWidth="1"/>
    <col min="2069" max="2069" width="34.28515625" style="48" customWidth="1"/>
    <col min="2070" max="2070" width="35" style="48" customWidth="1"/>
    <col min="2071" max="2071" width="39.85546875" style="48" customWidth="1"/>
    <col min="2072" max="2304" width="11.5703125" style="48"/>
    <col min="2305" max="2305" width="7.140625" style="48" customWidth="1"/>
    <col min="2306" max="2306" width="40.5703125" style="48" customWidth="1"/>
    <col min="2307" max="2307" width="25.28515625" style="48" bestFit="1" customWidth="1"/>
    <col min="2308" max="2308" width="0" style="48" hidden="1" customWidth="1"/>
    <col min="2309" max="2309" width="19.5703125" style="48" customWidth="1"/>
    <col min="2310" max="2310" width="0" style="48" hidden="1" customWidth="1"/>
    <col min="2311" max="2311" width="36.5703125" style="48" customWidth="1"/>
    <col min="2312" max="2312" width="21.7109375" style="48" bestFit="1" customWidth="1"/>
    <col min="2313" max="2313" width="21" style="48" customWidth="1"/>
    <col min="2314" max="2314" width="16.28515625" style="48" customWidth="1"/>
    <col min="2315" max="2315" width="11.28515625" style="48" bestFit="1" customWidth="1"/>
    <col min="2316" max="2316" width="8" style="48" customWidth="1"/>
    <col min="2317" max="2317" width="17.7109375" style="48" bestFit="1" customWidth="1"/>
    <col min="2318" max="2318" width="5.7109375" style="48" bestFit="1" customWidth="1"/>
    <col min="2319" max="2319" width="34.28515625" style="48" customWidth="1"/>
    <col min="2320" max="2320" width="14.85546875" style="48" customWidth="1"/>
    <col min="2321" max="2321" width="39.85546875" style="48" customWidth="1"/>
    <col min="2322" max="2322" width="34.28515625" style="48" customWidth="1"/>
    <col min="2323" max="2323" width="14.85546875" style="48" customWidth="1"/>
    <col min="2324" max="2324" width="39.85546875" style="48" customWidth="1"/>
    <col min="2325" max="2325" width="34.28515625" style="48" customWidth="1"/>
    <col min="2326" max="2326" width="35" style="48" customWidth="1"/>
    <col min="2327" max="2327" width="39.85546875" style="48" customWidth="1"/>
    <col min="2328" max="2560" width="11.5703125" style="48"/>
    <col min="2561" max="2561" width="7.140625" style="48" customWidth="1"/>
    <col min="2562" max="2562" width="40.5703125" style="48" customWidth="1"/>
    <col min="2563" max="2563" width="25.28515625" style="48" bestFit="1" customWidth="1"/>
    <col min="2564" max="2564" width="0" style="48" hidden="1" customWidth="1"/>
    <col min="2565" max="2565" width="19.5703125" style="48" customWidth="1"/>
    <col min="2566" max="2566" width="0" style="48" hidden="1" customWidth="1"/>
    <col min="2567" max="2567" width="36.5703125" style="48" customWidth="1"/>
    <col min="2568" max="2568" width="21.7109375" style="48" bestFit="1" customWidth="1"/>
    <col min="2569" max="2569" width="21" style="48" customWidth="1"/>
    <col min="2570" max="2570" width="16.28515625" style="48" customWidth="1"/>
    <col min="2571" max="2571" width="11.28515625" style="48" bestFit="1" customWidth="1"/>
    <col min="2572" max="2572" width="8" style="48" customWidth="1"/>
    <col min="2573" max="2573" width="17.7109375" style="48" bestFit="1" customWidth="1"/>
    <col min="2574" max="2574" width="5.7109375" style="48" bestFit="1" customWidth="1"/>
    <col min="2575" max="2575" width="34.28515625" style="48" customWidth="1"/>
    <col min="2576" max="2576" width="14.85546875" style="48" customWidth="1"/>
    <col min="2577" max="2577" width="39.85546875" style="48" customWidth="1"/>
    <col min="2578" max="2578" width="34.28515625" style="48" customWidth="1"/>
    <col min="2579" max="2579" width="14.85546875" style="48" customWidth="1"/>
    <col min="2580" max="2580" width="39.85546875" style="48" customWidth="1"/>
    <col min="2581" max="2581" width="34.28515625" style="48" customWidth="1"/>
    <col min="2582" max="2582" width="35" style="48" customWidth="1"/>
    <col min="2583" max="2583" width="39.85546875" style="48" customWidth="1"/>
    <col min="2584" max="2816" width="11.5703125" style="48"/>
    <col min="2817" max="2817" width="7.140625" style="48" customWidth="1"/>
    <col min="2818" max="2818" width="40.5703125" style="48" customWidth="1"/>
    <col min="2819" max="2819" width="25.28515625" style="48" bestFit="1" customWidth="1"/>
    <col min="2820" max="2820" width="0" style="48" hidden="1" customWidth="1"/>
    <col min="2821" max="2821" width="19.5703125" style="48" customWidth="1"/>
    <col min="2822" max="2822" width="0" style="48" hidden="1" customWidth="1"/>
    <col min="2823" max="2823" width="36.5703125" style="48" customWidth="1"/>
    <col min="2824" max="2824" width="21.7109375" style="48" bestFit="1" customWidth="1"/>
    <col min="2825" max="2825" width="21" style="48" customWidth="1"/>
    <col min="2826" max="2826" width="16.28515625" style="48" customWidth="1"/>
    <col min="2827" max="2827" width="11.28515625" style="48" bestFit="1" customWidth="1"/>
    <col min="2828" max="2828" width="8" style="48" customWidth="1"/>
    <col min="2829" max="2829" width="17.7109375" style="48" bestFit="1" customWidth="1"/>
    <col min="2830" max="2830" width="5.7109375" style="48" bestFit="1" customWidth="1"/>
    <col min="2831" max="2831" width="34.28515625" style="48" customWidth="1"/>
    <col min="2832" max="2832" width="14.85546875" style="48" customWidth="1"/>
    <col min="2833" max="2833" width="39.85546875" style="48" customWidth="1"/>
    <col min="2834" max="2834" width="34.28515625" style="48" customWidth="1"/>
    <col min="2835" max="2835" width="14.85546875" style="48" customWidth="1"/>
    <col min="2836" max="2836" width="39.85546875" style="48" customWidth="1"/>
    <col min="2837" max="2837" width="34.28515625" style="48" customWidth="1"/>
    <col min="2838" max="2838" width="35" style="48" customWidth="1"/>
    <col min="2839" max="2839" width="39.85546875" style="48" customWidth="1"/>
    <col min="2840" max="3072" width="11.5703125" style="48"/>
    <col min="3073" max="3073" width="7.140625" style="48" customWidth="1"/>
    <col min="3074" max="3074" width="40.5703125" style="48" customWidth="1"/>
    <col min="3075" max="3075" width="25.28515625" style="48" bestFit="1" customWidth="1"/>
    <col min="3076" max="3076" width="0" style="48" hidden="1" customWidth="1"/>
    <col min="3077" max="3077" width="19.5703125" style="48" customWidth="1"/>
    <col min="3078" max="3078" width="0" style="48" hidden="1" customWidth="1"/>
    <col min="3079" max="3079" width="36.5703125" style="48" customWidth="1"/>
    <col min="3080" max="3080" width="21.7109375" style="48" bestFit="1" customWidth="1"/>
    <col min="3081" max="3081" width="21" style="48" customWidth="1"/>
    <col min="3082" max="3082" width="16.28515625" style="48" customWidth="1"/>
    <col min="3083" max="3083" width="11.28515625" style="48" bestFit="1" customWidth="1"/>
    <col min="3084" max="3084" width="8" style="48" customWidth="1"/>
    <col min="3085" max="3085" width="17.7109375" style="48" bestFit="1" customWidth="1"/>
    <col min="3086" max="3086" width="5.7109375" style="48" bestFit="1" customWidth="1"/>
    <col min="3087" max="3087" width="34.28515625" style="48" customWidth="1"/>
    <col min="3088" max="3088" width="14.85546875" style="48" customWidth="1"/>
    <col min="3089" max="3089" width="39.85546875" style="48" customWidth="1"/>
    <col min="3090" max="3090" width="34.28515625" style="48" customWidth="1"/>
    <col min="3091" max="3091" width="14.85546875" style="48" customWidth="1"/>
    <col min="3092" max="3092" width="39.85546875" style="48" customWidth="1"/>
    <col min="3093" max="3093" width="34.28515625" style="48" customWidth="1"/>
    <col min="3094" max="3094" width="35" style="48" customWidth="1"/>
    <col min="3095" max="3095" width="39.85546875" style="48" customWidth="1"/>
    <col min="3096" max="3328" width="11.5703125" style="48"/>
    <col min="3329" max="3329" width="7.140625" style="48" customWidth="1"/>
    <col min="3330" max="3330" width="40.5703125" style="48" customWidth="1"/>
    <col min="3331" max="3331" width="25.28515625" style="48" bestFit="1" customWidth="1"/>
    <col min="3332" max="3332" width="0" style="48" hidden="1" customWidth="1"/>
    <col min="3333" max="3333" width="19.5703125" style="48" customWidth="1"/>
    <col min="3334" max="3334" width="0" style="48" hidden="1" customWidth="1"/>
    <col min="3335" max="3335" width="36.5703125" style="48" customWidth="1"/>
    <col min="3336" max="3336" width="21.7109375" style="48" bestFit="1" customWidth="1"/>
    <col min="3337" max="3337" width="21" style="48" customWidth="1"/>
    <col min="3338" max="3338" width="16.28515625" style="48" customWidth="1"/>
    <col min="3339" max="3339" width="11.28515625" style="48" bestFit="1" customWidth="1"/>
    <col min="3340" max="3340" width="8" style="48" customWidth="1"/>
    <col min="3341" max="3341" width="17.7109375" style="48" bestFit="1" customWidth="1"/>
    <col min="3342" max="3342" width="5.7109375" style="48" bestFit="1" customWidth="1"/>
    <col min="3343" max="3343" width="34.28515625" style="48" customWidth="1"/>
    <col min="3344" max="3344" width="14.85546875" style="48" customWidth="1"/>
    <col min="3345" max="3345" width="39.85546875" style="48" customWidth="1"/>
    <col min="3346" max="3346" width="34.28515625" style="48" customWidth="1"/>
    <col min="3347" max="3347" width="14.85546875" style="48" customWidth="1"/>
    <col min="3348" max="3348" width="39.85546875" style="48" customWidth="1"/>
    <col min="3349" max="3349" width="34.28515625" style="48" customWidth="1"/>
    <col min="3350" max="3350" width="35" style="48" customWidth="1"/>
    <col min="3351" max="3351" width="39.85546875" style="48" customWidth="1"/>
    <col min="3352" max="3584" width="11.5703125" style="48"/>
    <col min="3585" max="3585" width="7.140625" style="48" customWidth="1"/>
    <col min="3586" max="3586" width="40.5703125" style="48" customWidth="1"/>
    <col min="3587" max="3587" width="25.28515625" style="48" bestFit="1" customWidth="1"/>
    <col min="3588" max="3588" width="0" style="48" hidden="1" customWidth="1"/>
    <col min="3589" max="3589" width="19.5703125" style="48" customWidth="1"/>
    <col min="3590" max="3590" width="0" style="48" hidden="1" customWidth="1"/>
    <col min="3591" max="3591" width="36.5703125" style="48" customWidth="1"/>
    <col min="3592" max="3592" width="21.7109375" style="48" bestFit="1" customWidth="1"/>
    <col min="3593" max="3593" width="21" style="48" customWidth="1"/>
    <col min="3594" max="3594" width="16.28515625" style="48" customWidth="1"/>
    <col min="3595" max="3595" width="11.28515625" style="48" bestFit="1" customWidth="1"/>
    <col min="3596" max="3596" width="8" style="48" customWidth="1"/>
    <col min="3597" max="3597" width="17.7109375" style="48" bestFit="1" customWidth="1"/>
    <col min="3598" max="3598" width="5.7109375" style="48" bestFit="1" customWidth="1"/>
    <col min="3599" max="3599" width="34.28515625" style="48" customWidth="1"/>
    <col min="3600" max="3600" width="14.85546875" style="48" customWidth="1"/>
    <col min="3601" max="3601" width="39.85546875" style="48" customWidth="1"/>
    <col min="3602" max="3602" width="34.28515625" style="48" customWidth="1"/>
    <col min="3603" max="3603" width="14.85546875" style="48" customWidth="1"/>
    <col min="3604" max="3604" width="39.85546875" style="48" customWidth="1"/>
    <col min="3605" max="3605" width="34.28515625" style="48" customWidth="1"/>
    <col min="3606" max="3606" width="35" style="48" customWidth="1"/>
    <col min="3607" max="3607" width="39.85546875" style="48" customWidth="1"/>
    <col min="3608" max="3840" width="11.5703125" style="48"/>
    <col min="3841" max="3841" width="7.140625" style="48" customWidth="1"/>
    <col min="3842" max="3842" width="40.5703125" style="48" customWidth="1"/>
    <col min="3843" max="3843" width="25.28515625" style="48" bestFit="1" customWidth="1"/>
    <col min="3844" max="3844" width="0" style="48" hidden="1" customWidth="1"/>
    <col min="3845" max="3845" width="19.5703125" style="48" customWidth="1"/>
    <col min="3846" max="3846" width="0" style="48" hidden="1" customWidth="1"/>
    <col min="3847" max="3847" width="36.5703125" style="48" customWidth="1"/>
    <col min="3848" max="3848" width="21.7109375" style="48" bestFit="1" customWidth="1"/>
    <col min="3849" max="3849" width="21" style="48" customWidth="1"/>
    <col min="3850" max="3850" width="16.28515625" style="48" customWidth="1"/>
    <col min="3851" max="3851" width="11.28515625" style="48" bestFit="1" customWidth="1"/>
    <col min="3852" max="3852" width="8" style="48" customWidth="1"/>
    <col min="3853" max="3853" width="17.7109375" style="48" bestFit="1" customWidth="1"/>
    <col min="3854" max="3854" width="5.7109375" style="48" bestFit="1" customWidth="1"/>
    <col min="3855" max="3855" width="34.28515625" style="48" customWidth="1"/>
    <col min="3856" max="3856" width="14.85546875" style="48" customWidth="1"/>
    <col min="3857" max="3857" width="39.85546875" style="48" customWidth="1"/>
    <col min="3858" max="3858" width="34.28515625" style="48" customWidth="1"/>
    <col min="3859" max="3859" width="14.85546875" style="48" customWidth="1"/>
    <col min="3860" max="3860" width="39.85546875" style="48" customWidth="1"/>
    <col min="3861" max="3861" width="34.28515625" style="48" customWidth="1"/>
    <col min="3862" max="3862" width="35" style="48" customWidth="1"/>
    <col min="3863" max="3863" width="39.85546875" style="48" customWidth="1"/>
    <col min="3864" max="4096" width="11.5703125" style="48"/>
    <col min="4097" max="4097" width="7.140625" style="48" customWidth="1"/>
    <col min="4098" max="4098" width="40.5703125" style="48" customWidth="1"/>
    <col min="4099" max="4099" width="25.28515625" style="48" bestFit="1" customWidth="1"/>
    <col min="4100" max="4100" width="0" style="48" hidden="1" customWidth="1"/>
    <col min="4101" max="4101" width="19.5703125" style="48" customWidth="1"/>
    <col min="4102" max="4102" width="0" style="48" hidden="1" customWidth="1"/>
    <col min="4103" max="4103" width="36.5703125" style="48" customWidth="1"/>
    <col min="4104" max="4104" width="21.7109375" style="48" bestFit="1" customWidth="1"/>
    <col min="4105" max="4105" width="21" style="48" customWidth="1"/>
    <col min="4106" max="4106" width="16.28515625" style="48" customWidth="1"/>
    <col min="4107" max="4107" width="11.28515625" style="48" bestFit="1" customWidth="1"/>
    <col min="4108" max="4108" width="8" style="48" customWidth="1"/>
    <col min="4109" max="4109" width="17.7109375" style="48" bestFit="1" customWidth="1"/>
    <col min="4110" max="4110" width="5.7109375" style="48" bestFit="1" customWidth="1"/>
    <col min="4111" max="4111" width="34.28515625" style="48" customWidth="1"/>
    <col min="4112" max="4112" width="14.85546875" style="48" customWidth="1"/>
    <col min="4113" max="4113" width="39.85546875" style="48" customWidth="1"/>
    <col min="4114" max="4114" width="34.28515625" style="48" customWidth="1"/>
    <col min="4115" max="4115" width="14.85546875" style="48" customWidth="1"/>
    <col min="4116" max="4116" width="39.85546875" style="48" customWidth="1"/>
    <col min="4117" max="4117" width="34.28515625" style="48" customWidth="1"/>
    <col min="4118" max="4118" width="35" style="48" customWidth="1"/>
    <col min="4119" max="4119" width="39.85546875" style="48" customWidth="1"/>
    <col min="4120" max="4352" width="11.5703125" style="48"/>
    <col min="4353" max="4353" width="7.140625" style="48" customWidth="1"/>
    <col min="4354" max="4354" width="40.5703125" style="48" customWidth="1"/>
    <col min="4355" max="4355" width="25.28515625" style="48" bestFit="1" customWidth="1"/>
    <col min="4356" max="4356" width="0" style="48" hidden="1" customWidth="1"/>
    <col min="4357" max="4357" width="19.5703125" style="48" customWidth="1"/>
    <col min="4358" max="4358" width="0" style="48" hidden="1" customWidth="1"/>
    <col min="4359" max="4359" width="36.5703125" style="48" customWidth="1"/>
    <col min="4360" max="4360" width="21.7109375" style="48" bestFit="1" customWidth="1"/>
    <col min="4361" max="4361" width="21" style="48" customWidth="1"/>
    <col min="4362" max="4362" width="16.28515625" style="48" customWidth="1"/>
    <col min="4363" max="4363" width="11.28515625" style="48" bestFit="1" customWidth="1"/>
    <col min="4364" max="4364" width="8" style="48" customWidth="1"/>
    <col min="4365" max="4365" width="17.7109375" style="48" bestFit="1" customWidth="1"/>
    <col min="4366" max="4366" width="5.7109375" style="48" bestFit="1" customWidth="1"/>
    <col min="4367" max="4367" width="34.28515625" style="48" customWidth="1"/>
    <col min="4368" max="4368" width="14.85546875" style="48" customWidth="1"/>
    <col min="4369" max="4369" width="39.85546875" style="48" customWidth="1"/>
    <col min="4370" max="4370" width="34.28515625" style="48" customWidth="1"/>
    <col min="4371" max="4371" width="14.85546875" style="48" customWidth="1"/>
    <col min="4372" max="4372" width="39.85546875" style="48" customWidth="1"/>
    <col min="4373" max="4373" width="34.28515625" style="48" customWidth="1"/>
    <col min="4374" max="4374" width="35" style="48" customWidth="1"/>
    <col min="4375" max="4375" width="39.85546875" style="48" customWidth="1"/>
    <col min="4376" max="4608" width="11.5703125" style="48"/>
    <col min="4609" max="4609" width="7.140625" style="48" customWidth="1"/>
    <col min="4610" max="4610" width="40.5703125" style="48" customWidth="1"/>
    <col min="4611" max="4611" width="25.28515625" style="48" bestFit="1" customWidth="1"/>
    <col min="4612" max="4612" width="0" style="48" hidden="1" customWidth="1"/>
    <col min="4613" max="4613" width="19.5703125" style="48" customWidth="1"/>
    <col min="4614" max="4614" width="0" style="48" hidden="1" customWidth="1"/>
    <col min="4615" max="4615" width="36.5703125" style="48" customWidth="1"/>
    <col min="4616" max="4616" width="21.7109375" style="48" bestFit="1" customWidth="1"/>
    <col min="4617" max="4617" width="21" style="48" customWidth="1"/>
    <col min="4618" max="4618" width="16.28515625" style="48" customWidth="1"/>
    <col min="4619" max="4619" width="11.28515625" style="48" bestFit="1" customWidth="1"/>
    <col min="4620" max="4620" width="8" style="48" customWidth="1"/>
    <col min="4621" max="4621" width="17.7109375" style="48" bestFit="1" customWidth="1"/>
    <col min="4622" max="4622" width="5.7109375" style="48" bestFit="1" customWidth="1"/>
    <col min="4623" max="4623" width="34.28515625" style="48" customWidth="1"/>
    <col min="4624" max="4624" width="14.85546875" style="48" customWidth="1"/>
    <col min="4625" max="4625" width="39.85546875" style="48" customWidth="1"/>
    <col min="4626" max="4626" width="34.28515625" style="48" customWidth="1"/>
    <col min="4627" max="4627" width="14.85546875" style="48" customWidth="1"/>
    <col min="4628" max="4628" width="39.85546875" style="48" customWidth="1"/>
    <col min="4629" max="4629" width="34.28515625" style="48" customWidth="1"/>
    <col min="4630" max="4630" width="35" style="48" customWidth="1"/>
    <col min="4631" max="4631" width="39.85546875" style="48" customWidth="1"/>
    <col min="4632" max="4864" width="11.5703125" style="48"/>
    <col min="4865" max="4865" width="7.140625" style="48" customWidth="1"/>
    <col min="4866" max="4866" width="40.5703125" style="48" customWidth="1"/>
    <col min="4867" max="4867" width="25.28515625" style="48" bestFit="1" customWidth="1"/>
    <col min="4868" max="4868" width="0" style="48" hidden="1" customWidth="1"/>
    <col min="4869" max="4869" width="19.5703125" style="48" customWidth="1"/>
    <col min="4870" max="4870" width="0" style="48" hidden="1" customWidth="1"/>
    <col min="4871" max="4871" width="36.5703125" style="48" customWidth="1"/>
    <col min="4872" max="4872" width="21.7109375" style="48" bestFit="1" customWidth="1"/>
    <col min="4873" max="4873" width="21" style="48" customWidth="1"/>
    <col min="4874" max="4874" width="16.28515625" style="48" customWidth="1"/>
    <col min="4875" max="4875" width="11.28515625" style="48" bestFit="1" customWidth="1"/>
    <col min="4876" max="4876" width="8" style="48" customWidth="1"/>
    <col min="4877" max="4877" width="17.7109375" style="48" bestFit="1" customWidth="1"/>
    <col min="4878" max="4878" width="5.7109375" style="48" bestFit="1" customWidth="1"/>
    <col min="4879" max="4879" width="34.28515625" style="48" customWidth="1"/>
    <col min="4880" max="4880" width="14.85546875" style="48" customWidth="1"/>
    <col min="4881" max="4881" width="39.85546875" style="48" customWidth="1"/>
    <col min="4882" max="4882" width="34.28515625" style="48" customWidth="1"/>
    <col min="4883" max="4883" width="14.85546875" style="48" customWidth="1"/>
    <col min="4884" max="4884" width="39.85546875" style="48" customWidth="1"/>
    <col min="4885" max="4885" width="34.28515625" style="48" customWidth="1"/>
    <col min="4886" max="4886" width="35" style="48" customWidth="1"/>
    <col min="4887" max="4887" width="39.85546875" style="48" customWidth="1"/>
    <col min="4888" max="5120" width="11.5703125" style="48"/>
    <col min="5121" max="5121" width="7.140625" style="48" customWidth="1"/>
    <col min="5122" max="5122" width="40.5703125" style="48" customWidth="1"/>
    <col min="5123" max="5123" width="25.28515625" style="48" bestFit="1" customWidth="1"/>
    <col min="5124" max="5124" width="0" style="48" hidden="1" customWidth="1"/>
    <col min="5125" max="5125" width="19.5703125" style="48" customWidth="1"/>
    <col min="5126" max="5126" width="0" style="48" hidden="1" customWidth="1"/>
    <col min="5127" max="5127" width="36.5703125" style="48" customWidth="1"/>
    <col min="5128" max="5128" width="21.7109375" style="48" bestFit="1" customWidth="1"/>
    <col min="5129" max="5129" width="21" style="48" customWidth="1"/>
    <col min="5130" max="5130" width="16.28515625" style="48" customWidth="1"/>
    <col min="5131" max="5131" width="11.28515625" style="48" bestFit="1" customWidth="1"/>
    <col min="5132" max="5132" width="8" style="48" customWidth="1"/>
    <col min="5133" max="5133" width="17.7109375" style="48" bestFit="1" customWidth="1"/>
    <col min="5134" max="5134" width="5.7109375" style="48" bestFit="1" customWidth="1"/>
    <col min="5135" max="5135" width="34.28515625" style="48" customWidth="1"/>
    <col min="5136" max="5136" width="14.85546875" style="48" customWidth="1"/>
    <col min="5137" max="5137" width="39.85546875" style="48" customWidth="1"/>
    <col min="5138" max="5138" width="34.28515625" style="48" customWidth="1"/>
    <col min="5139" max="5139" width="14.85546875" style="48" customWidth="1"/>
    <col min="5140" max="5140" width="39.85546875" style="48" customWidth="1"/>
    <col min="5141" max="5141" width="34.28515625" style="48" customWidth="1"/>
    <col min="5142" max="5142" width="35" style="48" customWidth="1"/>
    <col min="5143" max="5143" width="39.85546875" style="48" customWidth="1"/>
    <col min="5144" max="5376" width="11.5703125" style="48"/>
    <col min="5377" max="5377" width="7.140625" style="48" customWidth="1"/>
    <col min="5378" max="5378" width="40.5703125" style="48" customWidth="1"/>
    <col min="5379" max="5379" width="25.28515625" style="48" bestFit="1" customWidth="1"/>
    <col min="5380" max="5380" width="0" style="48" hidden="1" customWidth="1"/>
    <col min="5381" max="5381" width="19.5703125" style="48" customWidth="1"/>
    <col min="5382" max="5382" width="0" style="48" hidden="1" customWidth="1"/>
    <col min="5383" max="5383" width="36.5703125" style="48" customWidth="1"/>
    <col min="5384" max="5384" width="21.7109375" style="48" bestFit="1" customWidth="1"/>
    <col min="5385" max="5385" width="21" style="48" customWidth="1"/>
    <col min="5386" max="5386" width="16.28515625" style="48" customWidth="1"/>
    <col min="5387" max="5387" width="11.28515625" style="48" bestFit="1" customWidth="1"/>
    <col min="5388" max="5388" width="8" style="48" customWidth="1"/>
    <col min="5389" max="5389" width="17.7109375" style="48" bestFit="1" customWidth="1"/>
    <col min="5390" max="5390" width="5.7109375" style="48" bestFit="1" customWidth="1"/>
    <col min="5391" max="5391" width="34.28515625" style="48" customWidth="1"/>
    <col min="5392" max="5392" width="14.85546875" style="48" customWidth="1"/>
    <col min="5393" max="5393" width="39.85546875" style="48" customWidth="1"/>
    <col min="5394" max="5394" width="34.28515625" style="48" customWidth="1"/>
    <col min="5395" max="5395" width="14.85546875" style="48" customWidth="1"/>
    <col min="5396" max="5396" width="39.85546875" style="48" customWidth="1"/>
    <col min="5397" max="5397" width="34.28515625" style="48" customWidth="1"/>
    <col min="5398" max="5398" width="35" style="48" customWidth="1"/>
    <col min="5399" max="5399" width="39.85546875" style="48" customWidth="1"/>
    <col min="5400" max="5632" width="11.5703125" style="48"/>
    <col min="5633" max="5633" width="7.140625" style="48" customWidth="1"/>
    <col min="5634" max="5634" width="40.5703125" style="48" customWidth="1"/>
    <col min="5635" max="5635" width="25.28515625" style="48" bestFit="1" customWidth="1"/>
    <col min="5636" max="5636" width="0" style="48" hidden="1" customWidth="1"/>
    <col min="5637" max="5637" width="19.5703125" style="48" customWidth="1"/>
    <col min="5638" max="5638" width="0" style="48" hidden="1" customWidth="1"/>
    <col min="5639" max="5639" width="36.5703125" style="48" customWidth="1"/>
    <col min="5640" max="5640" width="21.7109375" style="48" bestFit="1" customWidth="1"/>
    <col min="5641" max="5641" width="21" style="48" customWidth="1"/>
    <col min="5642" max="5642" width="16.28515625" style="48" customWidth="1"/>
    <col min="5643" max="5643" width="11.28515625" style="48" bestFit="1" customWidth="1"/>
    <col min="5644" max="5644" width="8" style="48" customWidth="1"/>
    <col min="5645" max="5645" width="17.7109375" style="48" bestFit="1" customWidth="1"/>
    <col min="5646" max="5646" width="5.7109375" style="48" bestFit="1" customWidth="1"/>
    <col min="5647" max="5647" width="34.28515625" style="48" customWidth="1"/>
    <col min="5648" max="5648" width="14.85546875" style="48" customWidth="1"/>
    <col min="5649" max="5649" width="39.85546875" style="48" customWidth="1"/>
    <col min="5650" max="5650" width="34.28515625" style="48" customWidth="1"/>
    <col min="5651" max="5651" width="14.85546875" style="48" customWidth="1"/>
    <col min="5652" max="5652" width="39.85546875" style="48" customWidth="1"/>
    <col min="5653" max="5653" width="34.28515625" style="48" customWidth="1"/>
    <col min="5654" max="5654" width="35" style="48" customWidth="1"/>
    <col min="5655" max="5655" width="39.85546875" style="48" customWidth="1"/>
    <col min="5656" max="5888" width="11.5703125" style="48"/>
    <col min="5889" max="5889" width="7.140625" style="48" customWidth="1"/>
    <col min="5890" max="5890" width="40.5703125" style="48" customWidth="1"/>
    <col min="5891" max="5891" width="25.28515625" style="48" bestFit="1" customWidth="1"/>
    <col min="5892" max="5892" width="0" style="48" hidden="1" customWidth="1"/>
    <col min="5893" max="5893" width="19.5703125" style="48" customWidth="1"/>
    <col min="5894" max="5894" width="0" style="48" hidden="1" customWidth="1"/>
    <col min="5895" max="5895" width="36.5703125" style="48" customWidth="1"/>
    <col min="5896" max="5896" width="21.7109375" style="48" bestFit="1" customWidth="1"/>
    <col min="5897" max="5897" width="21" style="48" customWidth="1"/>
    <col min="5898" max="5898" width="16.28515625" style="48" customWidth="1"/>
    <col min="5899" max="5899" width="11.28515625" style="48" bestFit="1" customWidth="1"/>
    <col min="5900" max="5900" width="8" style="48" customWidth="1"/>
    <col min="5901" max="5901" width="17.7109375" style="48" bestFit="1" customWidth="1"/>
    <col min="5902" max="5902" width="5.7109375" style="48" bestFit="1" customWidth="1"/>
    <col min="5903" max="5903" width="34.28515625" style="48" customWidth="1"/>
    <col min="5904" max="5904" width="14.85546875" style="48" customWidth="1"/>
    <col min="5905" max="5905" width="39.85546875" style="48" customWidth="1"/>
    <col min="5906" max="5906" width="34.28515625" style="48" customWidth="1"/>
    <col min="5907" max="5907" width="14.85546875" style="48" customWidth="1"/>
    <col min="5908" max="5908" width="39.85546875" style="48" customWidth="1"/>
    <col min="5909" max="5909" width="34.28515625" style="48" customWidth="1"/>
    <col min="5910" max="5910" width="35" style="48" customWidth="1"/>
    <col min="5911" max="5911" width="39.85546875" style="48" customWidth="1"/>
    <col min="5912" max="6144" width="11.5703125" style="48"/>
    <col min="6145" max="6145" width="7.140625" style="48" customWidth="1"/>
    <col min="6146" max="6146" width="40.5703125" style="48" customWidth="1"/>
    <col min="6147" max="6147" width="25.28515625" style="48" bestFit="1" customWidth="1"/>
    <col min="6148" max="6148" width="0" style="48" hidden="1" customWidth="1"/>
    <col min="6149" max="6149" width="19.5703125" style="48" customWidth="1"/>
    <col min="6150" max="6150" width="0" style="48" hidden="1" customWidth="1"/>
    <col min="6151" max="6151" width="36.5703125" style="48" customWidth="1"/>
    <col min="6152" max="6152" width="21.7109375" style="48" bestFit="1" customWidth="1"/>
    <col min="6153" max="6153" width="21" style="48" customWidth="1"/>
    <col min="6154" max="6154" width="16.28515625" style="48" customWidth="1"/>
    <col min="6155" max="6155" width="11.28515625" style="48" bestFit="1" customWidth="1"/>
    <col min="6156" max="6156" width="8" style="48" customWidth="1"/>
    <col min="6157" max="6157" width="17.7109375" style="48" bestFit="1" customWidth="1"/>
    <col min="6158" max="6158" width="5.7109375" style="48" bestFit="1" customWidth="1"/>
    <col min="6159" max="6159" width="34.28515625" style="48" customWidth="1"/>
    <col min="6160" max="6160" width="14.85546875" style="48" customWidth="1"/>
    <col min="6161" max="6161" width="39.85546875" style="48" customWidth="1"/>
    <col min="6162" max="6162" width="34.28515625" style="48" customWidth="1"/>
    <col min="6163" max="6163" width="14.85546875" style="48" customWidth="1"/>
    <col min="6164" max="6164" width="39.85546875" style="48" customWidth="1"/>
    <col min="6165" max="6165" width="34.28515625" style="48" customWidth="1"/>
    <col min="6166" max="6166" width="35" style="48" customWidth="1"/>
    <col min="6167" max="6167" width="39.85546875" style="48" customWidth="1"/>
    <col min="6168" max="6400" width="11.5703125" style="48"/>
    <col min="6401" max="6401" width="7.140625" style="48" customWidth="1"/>
    <col min="6402" max="6402" width="40.5703125" style="48" customWidth="1"/>
    <col min="6403" max="6403" width="25.28515625" style="48" bestFit="1" customWidth="1"/>
    <col min="6404" max="6404" width="0" style="48" hidden="1" customWidth="1"/>
    <col min="6405" max="6405" width="19.5703125" style="48" customWidth="1"/>
    <col min="6406" max="6406" width="0" style="48" hidden="1" customWidth="1"/>
    <col min="6407" max="6407" width="36.5703125" style="48" customWidth="1"/>
    <col min="6408" max="6408" width="21.7109375" style="48" bestFit="1" customWidth="1"/>
    <col min="6409" max="6409" width="21" style="48" customWidth="1"/>
    <col min="6410" max="6410" width="16.28515625" style="48" customWidth="1"/>
    <col min="6411" max="6411" width="11.28515625" style="48" bestFit="1" customWidth="1"/>
    <col min="6412" max="6412" width="8" style="48" customWidth="1"/>
    <col min="6413" max="6413" width="17.7109375" style="48" bestFit="1" customWidth="1"/>
    <col min="6414" max="6414" width="5.7109375" style="48" bestFit="1" customWidth="1"/>
    <col min="6415" max="6415" width="34.28515625" style="48" customWidth="1"/>
    <col min="6416" max="6416" width="14.85546875" style="48" customWidth="1"/>
    <col min="6417" max="6417" width="39.85546875" style="48" customWidth="1"/>
    <col min="6418" max="6418" width="34.28515625" style="48" customWidth="1"/>
    <col min="6419" max="6419" width="14.85546875" style="48" customWidth="1"/>
    <col min="6420" max="6420" width="39.85546875" style="48" customWidth="1"/>
    <col min="6421" max="6421" width="34.28515625" style="48" customWidth="1"/>
    <col min="6422" max="6422" width="35" style="48" customWidth="1"/>
    <col min="6423" max="6423" width="39.85546875" style="48" customWidth="1"/>
    <col min="6424" max="6656" width="11.5703125" style="48"/>
    <col min="6657" max="6657" width="7.140625" style="48" customWidth="1"/>
    <col min="6658" max="6658" width="40.5703125" style="48" customWidth="1"/>
    <col min="6659" max="6659" width="25.28515625" style="48" bestFit="1" customWidth="1"/>
    <col min="6660" max="6660" width="0" style="48" hidden="1" customWidth="1"/>
    <col min="6661" max="6661" width="19.5703125" style="48" customWidth="1"/>
    <col min="6662" max="6662" width="0" style="48" hidden="1" customWidth="1"/>
    <col min="6663" max="6663" width="36.5703125" style="48" customWidth="1"/>
    <col min="6664" max="6664" width="21.7109375" style="48" bestFit="1" customWidth="1"/>
    <col min="6665" max="6665" width="21" style="48" customWidth="1"/>
    <col min="6666" max="6666" width="16.28515625" style="48" customWidth="1"/>
    <col min="6667" max="6667" width="11.28515625" style="48" bestFit="1" customWidth="1"/>
    <col min="6668" max="6668" width="8" style="48" customWidth="1"/>
    <col min="6669" max="6669" width="17.7109375" style="48" bestFit="1" customWidth="1"/>
    <col min="6670" max="6670" width="5.7109375" style="48" bestFit="1" customWidth="1"/>
    <col min="6671" max="6671" width="34.28515625" style="48" customWidth="1"/>
    <col min="6672" max="6672" width="14.85546875" style="48" customWidth="1"/>
    <col min="6673" max="6673" width="39.85546875" style="48" customWidth="1"/>
    <col min="6674" max="6674" width="34.28515625" style="48" customWidth="1"/>
    <col min="6675" max="6675" width="14.85546875" style="48" customWidth="1"/>
    <col min="6676" max="6676" width="39.85546875" style="48" customWidth="1"/>
    <col min="6677" max="6677" width="34.28515625" style="48" customWidth="1"/>
    <col min="6678" max="6678" width="35" style="48" customWidth="1"/>
    <col min="6679" max="6679" width="39.85546875" style="48" customWidth="1"/>
    <col min="6680" max="6912" width="11.5703125" style="48"/>
    <col min="6913" max="6913" width="7.140625" style="48" customWidth="1"/>
    <col min="6914" max="6914" width="40.5703125" style="48" customWidth="1"/>
    <col min="6915" max="6915" width="25.28515625" style="48" bestFit="1" customWidth="1"/>
    <col min="6916" max="6916" width="0" style="48" hidden="1" customWidth="1"/>
    <col min="6917" max="6917" width="19.5703125" style="48" customWidth="1"/>
    <col min="6918" max="6918" width="0" style="48" hidden="1" customWidth="1"/>
    <col min="6919" max="6919" width="36.5703125" style="48" customWidth="1"/>
    <col min="6920" max="6920" width="21.7109375" style="48" bestFit="1" customWidth="1"/>
    <col min="6921" max="6921" width="21" style="48" customWidth="1"/>
    <col min="6922" max="6922" width="16.28515625" style="48" customWidth="1"/>
    <col min="6923" max="6923" width="11.28515625" style="48" bestFit="1" customWidth="1"/>
    <col min="6924" max="6924" width="8" style="48" customWidth="1"/>
    <col min="6925" max="6925" width="17.7109375" style="48" bestFit="1" customWidth="1"/>
    <col min="6926" max="6926" width="5.7109375" style="48" bestFit="1" customWidth="1"/>
    <col min="6927" max="6927" width="34.28515625" style="48" customWidth="1"/>
    <col min="6928" max="6928" width="14.85546875" style="48" customWidth="1"/>
    <col min="6929" max="6929" width="39.85546875" style="48" customWidth="1"/>
    <col min="6930" max="6930" width="34.28515625" style="48" customWidth="1"/>
    <col min="6931" max="6931" width="14.85546875" style="48" customWidth="1"/>
    <col min="6932" max="6932" width="39.85546875" style="48" customWidth="1"/>
    <col min="6933" max="6933" width="34.28515625" style="48" customWidth="1"/>
    <col min="6934" max="6934" width="35" style="48" customWidth="1"/>
    <col min="6935" max="6935" width="39.85546875" style="48" customWidth="1"/>
    <col min="6936" max="7168" width="11.5703125" style="48"/>
    <col min="7169" max="7169" width="7.140625" style="48" customWidth="1"/>
    <col min="7170" max="7170" width="40.5703125" style="48" customWidth="1"/>
    <col min="7171" max="7171" width="25.28515625" style="48" bestFit="1" customWidth="1"/>
    <col min="7172" max="7172" width="0" style="48" hidden="1" customWidth="1"/>
    <col min="7173" max="7173" width="19.5703125" style="48" customWidth="1"/>
    <col min="7174" max="7174" width="0" style="48" hidden="1" customWidth="1"/>
    <col min="7175" max="7175" width="36.5703125" style="48" customWidth="1"/>
    <col min="7176" max="7176" width="21.7109375" style="48" bestFit="1" customWidth="1"/>
    <col min="7177" max="7177" width="21" style="48" customWidth="1"/>
    <col min="7178" max="7178" width="16.28515625" style="48" customWidth="1"/>
    <col min="7179" max="7179" width="11.28515625" style="48" bestFit="1" customWidth="1"/>
    <col min="7180" max="7180" width="8" style="48" customWidth="1"/>
    <col min="7181" max="7181" width="17.7109375" style="48" bestFit="1" customWidth="1"/>
    <col min="7182" max="7182" width="5.7109375" style="48" bestFit="1" customWidth="1"/>
    <col min="7183" max="7183" width="34.28515625" style="48" customWidth="1"/>
    <col min="7184" max="7184" width="14.85546875" style="48" customWidth="1"/>
    <col min="7185" max="7185" width="39.85546875" style="48" customWidth="1"/>
    <col min="7186" max="7186" width="34.28515625" style="48" customWidth="1"/>
    <col min="7187" max="7187" width="14.85546875" style="48" customWidth="1"/>
    <col min="7188" max="7188" width="39.85546875" style="48" customWidth="1"/>
    <col min="7189" max="7189" width="34.28515625" style="48" customWidth="1"/>
    <col min="7190" max="7190" width="35" style="48" customWidth="1"/>
    <col min="7191" max="7191" width="39.85546875" style="48" customWidth="1"/>
    <col min="7192" max="7424" width="11.5703125" style="48"/>
    <col min="7425" max="7425" width="7.140625" style="48" customWidth="1"/>
    <col min="7426" max="7426" width="40.5703125" style="48" customWidth="1"/>
    <col min="7427" max="7427" width="25.28515625" style="48" bestFit="1" customWidth="1"/>
    <col min="7428" max="7428" width="0" style="48" hidden="1" customWidth="1"/>
    <col min="7429" max="7429" width="19.5703125" style="48" customWidth="1"/>
    <col min="7430" max="7430" width="0" style="48" hidden="1" customWidth="1"/>
    <col min="7431" max="7431" width="36.5703125" style="48" customWidth="1"/>
    <col min="7432" max="7432" width="21.7109375" style="48" bestFit="1" customWidth="1"/>
    <col min="7433" max="7433" width="21" style="48" customWidth="1"/>
    <col min="7434" max="7434" width="16.28515625" style="48" customWidth="1"/>
    <col min="7435" max="7435" width="11.28515625" style="48" bestFit="1" customWidth="1"/>
    <col min="7436" max="7436" width="8" style="48" customWidth="1"/>
    <col min="7437" max="7437" width="17.7109375" style="48" bestFit="1" customWidth="1"/>
    <col min="7438" max="7438" width="5.7109375" style="48" bestFit="1" customWidth="1"/>
    <col min="7439" max="7439" width="34.28515625" style="48" customWidth="1"/>
    <col min="7440" max="7440" width="14.85546875" style="48" customWidth="1"/>
    <col min="7441" max="7441" width="39.85546875" style="48" customWidth="1"/>
    <col min="7442" max="7442" width="34.28515625" style="48" customWidth="1"/>
    <col min="7443" max="7443" width="14.85546875" style="48" customWidth="1"/>
    <col min="7444" max="7444" width="39.85546875" style="48" customWidth="1"/>
    <col min="7445" max="7445" width="34.28515625" style="48" customWidth="1"/>
    <col min="7446" max="7446" width="35" style="48" customWidth="1"/>
    <col min="7447" max="7447" width="39.85546875" style="48" customWidth="1"/>
    <col min="7448" max="7680" width="11.5703125" style="48"/>
    <col min="7681" max="7681" width="7.140625" style="48" customWidth="1"/>
    <col min="7682" max="7682" width="40.5703125" style="48" customWidth="1"/>
    <col min="7683" max="7683" width="25.28515625" style="48" bestFit="1" customWidth="1"/>
    <col min="7684" max="7684" width="0" style="48" hidden="1" customWidth="1"/>
    <col min="7685" max="7685" width="19.5703125" style="48" customWidth="1"/>
    <col min="7686" max="7686" width="0" style="48" hidden="1" customWidth="1"/>
    <col min="7687" max="7687" width="36.5703125" style="48" customWidth="1"/>
    <col min="7688" max="7688" width="21.7109375" style="48" bestFit="1" customWidth="1"/>
    <col min="7689" max="7689" width="21" style="48" customWidth="1"/>
    <col min="7690" max="7690" width="16.28515625" style="48" customWidth="1"/>
    <col min="7691" max="7691" width="11.28515625" style="48" bestFit="1" customWidth="1"/>
    <col min="7692" max="7692" width="8" style="48" customWidth="1"/>
    <col min="7693" max="7693" width="17.7109375" style="48" bestFit="1" customWidth="1"/>
    <col min="7694" max="7694" width="5.7109375" style="48" bestFit="1" customWidth="1"/>
    <col min="7695" max="7695" width="34.28515625" style="48" customWidth="1"/>
    <col min="7696" max="7696" width="14.85546875" style="48" customWidth="1"/>
    <col min="7697" max="7697" width="39.85546875" style="48" customWidth="1"/>
    <col min="7698" max="7698" width="34.28515625" style="48" customWidth="1"/>
    <col min="7699" max="7699" width="14.85546875" style="48" customWidth="1"/>
    <col min="7700" max="7700" width="39.85546875" style="48" customWidth="1"/>
    <col min="7701" max="7701" width="34.28515625" style="48" customWidth="1"/>
    <col min="7702" max="7702" width="35" style="48" customWidth="1"/>
    <col min="7703" max="7703" width="39.85546875" style="48" customWidth="1"/>
    <col min="7704" max="7936" width="11.5703125" style="48"/>
    <col min="7937" max="7937" width="7.140625" style="48" customWidth="1"/>
    <col min="7938" max="7938" width="40.5703125" style="48" customWidth="1"/>
    <col min="7939" max="7939" width="25.28515625" style="48" bestFit="1" customWidth="1"/>
    <col min="7940" max="7940" width="0" style="48" hidden="1" customWidth="1"/>
    <col min="7941" max="7941" width="19.5703125" style="48" customWidth="1"/>
    <col min="7942" max="7942" width="0" style="48" hidden="1" customWidth="1"/>
    <col min="7943" max="7943" width="36.5703125" style="48" customWidth="1"/>
    <col min="7944" max="7944" width="21.7109375" style="48" bestFit="1" customWidth="1"/>
    <col min="7945" max="7945" width="21" style="48" customWidth="1"/>
    <col min="7946" max="7946" width="16.28515625" style="48" customWidth="1"/>
    <col min="7947" max="7947" width="11.28515625" style="48" bestFit="1" customWidth="1"/>
    <col min="7948" max="7948" width="8" style="48" customWidth="1"/>
    <col min="7949" max="7949" width="17.7109375" style="48" bestFit="1" customWidth="1"/>
    <col min="7950" max="7950" width="5.7109375" style="48" bestFit="1" customWidth="1"/>
    <col min="7951" max="7951" width="34.28515625" style="48" customWidth="1"/>
    <col min="7952" max="7952" width="14.85546875" style="48" customWidth="1"/>
    <col min="7953" max="7953" width="39.85546875" style="48" customWidth="1"/>
    <col min="7954" max="7954" width="34.28515625" style="48" customWidth="1"/>
    <col min="7955" max="7955" width="14.85546875" style="48" customWidth="1"/>
    <col min="7956" max="7956" width="39.85546875" style="48" customWidth="1"/>
    <col min="7957" max="7957" width="34.28515625" style="48" customWidth="1"/>
    <col min="7958" max="7958" width="35" style="48" customWidth="1"/>
    <col min="7959" max="7959" width="39.85546875" style="48" customWidth="1"/>
    <col min="7960" max="8192" width="11.5703125" style="48"/>
    <col min="8193" max="8193" width="7.140625" style="48" customWidth="1"/>
    <col min="8194" max="8194" width="40.5703125" style="48" customWidth="1"/>
    <col min="8195" max="8195" width="25.28515625" style="48" bestFit="1" customWidth="1"/>
    <col min="8196" max="8196" width="0" style="48" hidden="1" customWidth="1"/>
    <col min="8197" max="8197" width="19.5703125" style="48" customWidth="1"/>
    <col min="8198" max="8198" width="0" style="48" hidden="1" customWidth="1"/>
    <col min="8199" max="8199" width="36.5703125" style="48" customWidth="1"/>
    <col min="8200" max="8200" width="21.7109375" style="48" bestFit="1" customWidth="1"/>
    <col min="8201" max="8201" width="21" style="48" customWidth="1"/>
    <col min="8202" max="8202" width="16.28515625" style="48" customWidth="1"/>
    <col min="8203" max="8203" width="11.28515625" style="48" bestFit="1" customWidth="1"/>
    <col min="8204" max="8204" width="8" style="48" customWidth="1"/>
    <col min="8205" max="8205" width="17.7109375" style="48" bestFit="1" customWidth="1"/>
    <col min="8206" max="8206" width="5.7109375" style="48" bestFit="1" customWidth="1"/>
    <col min="8207" max="8207" width="34.28515625" style="48" customWidth="1"/>
    <col min="8208" max="8208" width="14.85546875" style="48" customWidth="1"/>
    <col min="8209" max="8209" width="39.85546875" style="48" customWidth="1"/>
    <col min="8210" max="8210" width="34.28515625" style="48" customWidth="1"/>
    <col min="8211" max="8211" width="14.85546875" style="48" customWidth="1"/>
    <col min="8212" max="8212" width="39.85546875" style="48" customWidth="1"/>
    <col min="8213" max="8213" width="34.28515625" style="48" customWidth="1"/>
    <col min="8214" max="8214" width="35" style="48" customWidth="1"/>
    <col min="8215" max="8215" width="39.85546875" style="48" customWidth="1"/>
    <col min="8216" max="8448" width="11.5703125" style="48"/>
    <col min="8449" max="8449" width="7.140625" style="48" customWidth="1"/>
    <col min="8450" max="8450" width="40.5703125" style="48" customWidth="1"/>
    <col min="8451" max="8451" width="25.28515625" style="48" bestFit="1" customWidth="1"/>
    <col min="8452" max="8452" width="0" style="48" hidden="1" customWidth="1"/>
    <col min="8453" max="8453" width="19.5703125" style="48" customWidth="1"/>
    <col min="8454" max="8454" width="0" style="48" hidden="1" customWidth="1"/>
    <col min="8455" max="8455" width="36.5703125" style="48" customWidth="1"/>
    <col min="8456" max="8456" width="21.7109375" style="48" bestFit="1" customWidth="1"/>
    <col min="8457" max="8457" width="21" style="48" customWidth="1"/>
    <col min="8458" max="8458" width="16.28515625" style="48" customWidth="1"/>
    <col min="8459" max="8459" width="11.28515625" style="48" bestFit="1" customWidth="1"/>
    <col min="8460" max="8460" width="8" style="48" customWidth="1"/>
    <col min="8461" max="8461" width="17.7109375" style="48" bestFit="1" customWidth="1"/>
    <col min="8462" max="8462" width="5.7109375" style="48" bestFit="1" customWidth="1"/>
    <col min="8463" max="8463" width="34.28515625" style="48" customWidth="1"/>
    <col min="8464" max="8464" width="14.85546875" style="48" customWidth="1"/>
    <col min="8465" max="8465" width="39.85546875" style="48" customWidth="1"/>
    <col min="8466" max="8466" width="34.28515625" style="48" customWidth="1"/>
    <col min="8467" max="8467" width="14.85546875" style="48" customWidth="1"/>
    <col min="8468" max="8468" width="39.85546875" style="48" customWidth="1"/>
    <col min="8469" max="8469" width="34.28515625" style="48" customWidth="1"/>
    <col min="8470" max="8470" width="35" style="48" customWidth="1"/>
    <col min="8471" max="8471" width="39.85546875" style="48" customWidth="1"/>
    <col min="8472" max="8704" width="11.5703125" style="48"/>
    <col min="8705" max="8705" width="7.140625" style="48" customWidth="1"/>
    <col min="8706" max="8706" width="40.5703125" style="48" customWidth="1"/>
    <col min="8707" max="8707" width="25.28515625" style="48" bestFit="1" customWidth="1"/>
    <col min="8708" max="8708" width="0" style="48" hidden="1" customWidth="1"/>
    <col min="8709" max="8709" width="19.5703125" style="48" customWidth="1"/>
    <col min="8710" max="8710" width="0" style="48" hidden="1" customWidth="1"/>
    <col min="8711" max="8711" width="36.5703125" style="48" customWidth="1"/>
    <col min="8712" max="8712" width="21.7109375" style="48" bestFit="1" customWidth="1"/>
    <col min="8713" max="8713" width="21" style="48" customWidth="1"/>
    <col min="8714" max="8714" width="16.28515625" style="48" customWidth="1"/>
    <col min="8715" max="8715" width="11.28515625" style="48" bestFit="1" customWidth="1"/>
    <col min="8716" max="8716" width="8" style="48" customWidth="1"/>
    <col min="8717" max="8717" width="17.7109375" style="48" bestFit="1" customWidth="1"/>
    <col min="8718" max="8718" width="5.7109375" style="48" bestFit="1" customWidth="1"/>
    <col min="8719" max="8719" width="34.28515625" style="48" customWidth="1"/>
    <col min="8720" max="8720" width="14.85546875" style="48" customWidth="1"/>
    <col min="8721" max="8721" width="39.85546875" style="48" customWidth="1"/>
    <col min="8722" max="8722" width="34.28515625" style="48" customWidth="1"/>
    <col min="8723" max="8723" width="14.85546875" style="48" customWidth="1"/>
    <col min="8724" max="8724" width="39.85546875" style="48" customWidth="1"/>
    <col min="8725" max="8725" width="34.28515625" style="48" customWidth="1"/>
    <col min="8726" max="8726" width="35" style="48" customWidth="1"/>
    <col min="8727" max="8727" width="39.85546875" style="48" customWidth="1"/>
    <col min="8728" max="8960" width="11.5703125" style="48"/>
    <col min="8961" max="8961" width="7.140625" style="48" customWidth="1"/>
    <col min="8962" max="8962" width="40.5703125" style="48" customWidth="1"/>
    <col min="8963" max="8963" width="25.28515625" style="48" bestFit="1" customWidth="1"/>
    <col min="8964" max="8964" width="0" style="48" hidden="1" customWidth="1"/>
    <col min="8965" max="8965" width="19.5703125" style="48" customWidth="1"/>
    <col min="8966" max="8966" width="0" style="48" hidden="1" customWidth="1"/>
    <col min="8967" max="8967" width="36.5703125" style="48" customWidth="1"/>
    <col min="8968" max="8968" width="21.7109375" style="48" bestFit="1" customWidth="1"/>
    <col min="8969" max="8969" width="21" style="48" customWidth="1"/>
    <col min="8970" max="8970" width="16.28515625" style="48" customWidth="1"/>
    <col min="8971" max="8971" width="11.28515625" style="48" bestFit="1" customWidth="1"/>
    <col min="8972" max="8972" width="8" style="48" customWidth="1"/>
    <col min="8973" max="8973" width="17.7109375" style="48" bestFit="1" customWidth="1"/>
    <col min="8974" max="8974" width="5.7109375" style="48" bestFit="1" customWidth="1"/>
    <col min="8975" max="8975" width="34.28515625" style="48" customWidth="1"/>
    <col min="8976" max="8976" width="14.85546875" style="48" customWidth="1"/>
    <col min="8977" max="8977" width="39.85546875" style="48" customWidth="1"/>
    <col min="8978" max="8978" width="34.28515625" style="48" customWidth="1"/>
    <col min="8979" max="8979" width="14.85546875" style="48" customWidth="1"/>
    <col min="8980" max="8980" width="39.85546875" style="48" customWidth="1"/>
    <col min="8981" max="8981" width="34.28515625" style="48" customWidth="1"/>
    <col min="8982" max="8982" width="35" style="48" customWidth="1"/>
    <col min="8983" max="8983" width="39.85546875" style="48" customWidth="1"/>
    <col min="8984" max="9216" width="11.5703125" style="48"/>
    <col min="9217" max="9217" width="7.140625" style="48" customWidth="1"/>
    <col min="9218" max="9218" width="40.5703125" style="48" customWidth="1"/>
    <col min="9219" max="9219" width="25.28515625" style="48" bestFit="1" customWidth="1"/>
    <col min="9220" max="9220" width="0" style="48" hidden="1" customWidth="1"/>
    <col min="9221" max="9221" width="19.5703125" style="48" customWidth="1"/>
    <col min="9222" max="9222" width="0" style="48" hidden="1" customWidth="1"/>
    <col min="9223" max="9223" width="36.5703125" style="48" customWidth="1"/>
    <col min="9224" max="9224" width="21.7109375" style="48" bestFit="1" customWidth="1"/>
    <col min="9225" max="9225" width="21" style="48" customWidth="1"/>
    <col min="9226" max="9226" width="16.28515625" style="48" customWidth="1"/>
    <col min="9227" max="9227" width="11.28515625" style="48" bestFit="1" customWidth="1"/>
    <col min="9228" max="9228" width="8" style="48" customWidth="1"/>
    <col min="9229" max="9229" width="17.7109375" style="48" bestFit="1" customWidth="1"/>
    <col min="9230" max="9230" width="5.7109375" style="48" bestFit="1" customWidth="1"/>
    <col min="9231" max="9231" width="34.28515625" style="48" customWidth="1"/>
    <col min="9232" max="9232" width="14.85546875" style="48" customWidth="1"/>
    <col min="9233" max="9233" width="39.85546875" style="48" customWidth="1"/>
    <col min="9234" max="9234" width="34.28515625" style="48" customWidth="1"/>
    <col min="9235" max="9235" width="14.85546875" style="48" customWidth="1"/>
    <col min="9236" max="9236" width="39.85546875" style="48" customWidth="1"/>
    <col min="9237" max="9237" width="34.28515625" style="48" customWidth="1"/>
    <col min="9238" max="9238" width="35" style="48" customWidth="1"/>
    <col min="9239" max="9239" width="39.85546875" style="48" customWidth="1"/>
    <col min="9240" max="9472" width="11.5703125" style="48"/>
    <col min="9473" max="9473" width="7.140625" style="48" customWidth="1"/>
    <col min="9474" max="9474" width="40.5703125" style="48" customWidth="1"/>
    <col min="9475" max="9475" width="25.28515625" style="48" bestFit="1" customWidth="1"/>
    <col min="9476" max="9476" width="0" style="48" hidden="1" customWidth="1"/>
    <col min="9477" max="9477" width="19.5703125" style="48" customWidth="1"/>
    <col min="9478" max="9478" width="0" style="48" hidden="1" customWidth="1"/>
    <col min="9479" max="9479" width="36.5703125" style="48" customWidth="1"/>
    <col min="9480" max="9480" width="21.7109375" style="48" bestFit="1" customWidth="1"/>
    <col min="9481" max="9481" width="21" style="48" customWidth="1"/>
    <col min="9482" max="9482" width="16.28515625" style="48" customWidth="1"/>
    <col min="9483" max="9483" width="11.28515625" style="48" bestFit="1" customWidth="1"/>
    <col min="9484" max="9484" width="8" style="48" customWidth="1"/>
    <col min="9485" max="9485" width="17.7109375" style="48" bestFit="1" customWidth="1"/>
    <col min="9486" max="9486" width="5.7109375" style="48" bestFit="1" customWidth="1"/>
    <col min="9487" max="9487" width="34.28515625" style="48" customWidth="1"/>
    <col min="9488" max="9488" width="14.85546875" style="48" customWidth="1"/>
    <col min="9489" max="9489" width="39.85546875" style="48" customWidth="1"/>
    <col min="9490" max="9490" width="34.28515625" style="48" customWidth="1"/>
    <col min="9491" max="9491" width="14.85546875" style="48" customWidth="1"/>
    <col min="9492" max="9492" width="39.85546875" style="48" customWidth="1"/>
    <col min="9493" max="9493" width="34.28515625" style="48" customWidth="1"/>
    <col min="9494" max="9494" width="35" style="48" customWidth="1"/>
    <col min="9495" max="9495" width="39.85546875" style="48" customWidth="1"/>
    <col min="9496" max="9728" width="11.5703125" style="48"/>
    <col min="9729" max="9729" width="7.140625" style="48" customWidth="1"/>
    <col min="9730" max="9730" width="40.5703125" style="48" customWidth="1"/>
    <col min="9731" max="9731" width="25.28515625" style="48" bestFit="1" customWidth="1"/>
    <col min="9732" max="9732" width="0" style="48" hidden="1" customWidth="1"/>
    <col min="9733" max="9733" width="19.5703125" style="48" customWidth="1"/>
    <col min="9734" max="9734" width="0" style="48" hidden="1" customWidth="1"/>
    <col min="9735" max="9735" width="36.5703125" style="48" customWidth="1"/>
    <col min="9736" max="9736" width="21.7109375" style="48" bestFit="1" customWidth="1"/>
    <col min="9737" max="9737" width="21" style="48" customWidth="1"/>
    <col min="9738" max="9738" width="16.28515625" style="48" customWidth="1"/>
    <col min="9739" max="9739" width="11.28515625" style="48" bestFit="1" customWidth="1"/>
    <col min="9740" max="9740" width="8" style="48" customWidth="1"/>
    <col min="9741" max="9741" width="17.7109375" style="48" bestFit="1" customWidth="1"/>
    <col min="9742" max="9742" width="5.7109375" style="48" bestFit="1" customWidth="1"/>
    <col min="9743" max="9743" width="34.28515625" style="48" customWidth="1"/>
    <col min="9744" max="9744" width="14.85546875" style="48" customWidth="1"/>
    <col min="9745" max="9745" width="39.85546875" style="48" customWidth="1"/>
    <col min="9746" max="9746" width="34.28515625" style="48" customWidth="1"/>
    <col min="9747" max="9747" width="14.85546875" style="48" customWidth="1"/>
    <col min="9748" max="9748" width="39.85546875" style="48" customWidth="1"/>
    <col min="9749" max="9749" width="34.28515625" style="48" customWidth="1"/>
    <col min="9750" max="9750" width="35" style="48" customWidth="1"/>
    <col min="9751" max="9751" width="39.85546875" style="48" customWidth="1"/>
    <col min="9752" max="9984" width="11.5703125" style="48"/>
    <col min="9985" max="9985" width="7.140625" style="48" customWidth="1"/>
    <col min="9986" max="9986" width="40.5703125" style="48" customWidth="1"/>
    <col min="9987" max="9987" width="25.28515625" style="48" bestFit="1" customWidth="1"/>
    <col min="9988" max="9988" width="0" style="48" hidden="1" customWidth="1"/>
    <col min="9989" max="9989" width="19.5703125" style="48" customWidth="1"/>
    <col min="9990" max="9990" width="0" style="48" hidden="1" customWidth="1"/>
    <col min="9991" max="9991" width="36.5703125" style="48" customWidth="1"/>
    <col min="9992" max="9992" width="21.7109375" style="48" bestFit="1" customWidth="1"/>
    <col min="9993" max="9993" width="21" style="48" customWidth="1"/>
    <col min="9994" max="9994" width="16.28515625" style="48" customWidth="1"/>
    <col min="9995" max="9995" width="11.28515625" style="48" bestFit="1" customWidth="1"/>
    <col min="9996" max="9996" width="8" style="48" customWidth="1"/>
    <col min="9997" max="9997" width="17.7109375" style="48" bestFit="1" customWidth="1"/>
    <col min="9998" max="9998" width="5.7109375" style="48" bestFit="1" customWidth="1"/>
    <col min="9999" max="9999" width="34.28515625" style="48" customWidth="1"/>
    <col min="10000" max="10000" width="14.85546875" style="48" customWidth="1"/>
    <col min="10001" max="10001" width="39.85546875" style="48" customWidth="1"/>
    <col min="10002" max="10002" width="34.28515625" style="48" customWidth="1"/>
    <col min="10003" max="10003" width="14.85546875" style="48" customWidth="1"/>
    <col min="10004" max="10004" width="39.85546875" style="48" customWidth="1"/>
    <col min="10005" max="10005" width="34.28515625" style="48" customWidth="1"/>
    <col min="10006" max="10006" width="35" style="48" customWidth="1"/>
    <col min="10007" max="10007" width="39.85546875" style="48" customWidth="1"/>
    <col min="10008" max="10240" width="11.5703125" style="48"/>
    <col min="10241" max="10241" width="7.140625" style="48" customWidth="1"/>
    <col min="10242" max="10242" width="40.5703125" style="48" customWidth="1"/>
    <col min="10243" max="10243" width="25.28515625" style="48" bestFit="1" customWidth="1"/>
    <col min="10244" max="10244" width="0" style="48" hidden="1" customWidth="1"/>
    <col min="10245" max="10245" width="19.5703125" style="48" customWidth="1"/>
    <col min="10246" max="10246" width="0" style="48" hidden="1" customWidth="1"/>
    <col min="10247" max="10247" width="36.5703125" style="48" customWidth="1"/>
    <col min="10248" max="10248" width="21.7109375" style="48" bestFit="1" customWidth="1"/>
    <col min="10249" max="10249" width="21" style="48" customWidth="1"/>
    <col min="10250" max="10250" width="16.28515625" style="48" customWidth="1"/>
    <col min="10251" max="10251" width="11.28515625" style="48" bestFit="1" customWidth="1"/>
    <col min="10252" max="10252" width="8" style="48" customWidth="1"/>
    <col min="10253" max="10253" width="17.7109375" style="48" bestFit="1" customWidth="1"/>
    <col min="10254" max="10254" width="5.7109375" style="48" bestFit="1" customWidth="1"/>
    <col min="10255" max="10255" width="34.28515625" style="48" customWidth="1"/>
    <col min="10256" max="10256" width="14.85546875" style="48" customWidth="1"/>
    <col min="10257" max="10257" width="39.85546875" style="48" customWidth="1"/>
    <col min="10258" max="10258" width="34.28515625" style="48" customWidth="1"/>
    <col min="10259" max="10259" width="14.85546875" style="48" customWidth="1"/>
    <col min="10260" max="10260" width="39.85546875" style="48" customWidth="1"/>
    <col min="10261" max="10261" width="34.28515625" style="48" customWidth="1"/>
    <col min="10262" max="10262" width="35" style="48" customWidth="1"/>
    <col min="10263" max="10263" width="39.85546875" style="48" customWidth="1"/>
    <col min="10264" max="10496" width="11.5703125" style="48"/>
    <col min="10497" max="10497" width="7.140625" style="48" customWidth="1"/>
    <col min="10498" max="10498" width="40.5703125" style="48" customWidth="1"/>
    <col min="10499" max="10499" width="25.28515625" style="48" bestFit="1" customWidth="1"/>
    <col min="10500" max="10500" width="0" style="48" hidden="1" customWidth="1"/>
    <col min="10501" max="10501" width="19.5703125" style="48" customWidth="1"/>
    <col min="10502" max="10502" width="0" style="48" hidden="1" customWidth="1"/>
    <col min="10503" max="10503" width="36.5703125" style="48" customWidth="1"/>
    <col min="10504" max="10504" width="21.7109375" style="48" bestFit="1" customWidth="1"/>
    <col min="10505" max="10505" width="21" style="48" customWidth="1"/>
    <col min="10506" max="10506" width="16.28515625" style="48" customWidth="1"/>
    <col min="10507" max="10507" width="11.28515625" style="48" bestFit="1" customWidth="1"/>
    <col min="10508" max="10508" width="8" style="48" customWidth="1"/>
    <col min="10509" max="10509" width="17.7109375" style="48" bestFit="1" customWidth="1"/>
    <col min="10510" max="10510" width="5.7109375" style="48" bestFit="1" customWidth="1"/>
    <col min="10511" max="10511" width="34.28515625" style="48" customWidth="1"/>
    <col min="10512" max="10512" width="14.85546875" style="48" customWidth="1"/>
    <col min="10513" max="10513" width="39.85546875" style="48" customWidth="1"/>
    <col min="10514" max="10514" width="34.28515625" style="48" customWidth="1"/>
    <col min="10515" max="10515" width="14.85546875" style="48" customWidth="1"/>
    <col min="10516" max="10516" width="39.85546875" style="48" customWidth="1"/>
    <col min="10517" max="10517" width="34.28515625" style="48" customWidth="1"/>
    <col min="10518" max="10518" width="35" style="48" customWidth="1"/>
    <col min="10519" max="10519" width="39.85546875" style="48" customWidth="1"/>
    <col min="10520" max="10752" width="11.5703125" style="48"/>
    <col min="10753" max="10753" width="7.140625" style="48" customWidth="1"/>
    <col min="10754" max="10754" width="40.5703125" style="48" customWidth="1"/>
    <col min="10755" max="10755" width="25.28515625" style="48" bestFit="1" customWidth="1"/>
    <col min="10756" max="10756" width="0" style="48" hidden="1" customWidth="1"/>
    <col min="10757" max="10757" width="19.5703125" style="48" customWidth="1"/>
    <col min="10758" max="10758" width="0" style="48" hidden="1" customWidth="1"/>
    <col min="10759" max="10759" width="36.5703125" style="48" customWidth="1"/>
    <col min="10760" max="10760" width="21.7109375" style="48" bestFit="1" customWidth="1"/>
    <col min="10761" max="10761" width="21" style="48" customWidth="1"/>
    <col min="10762" max="10762" width="16.28515625" style="48" customWidth="1"/>
    <col min="10763" max="10763" width="11.28515625" style="48" bestFit="1" customWidth="1"/>
    <col min="10764" max="10764" width="8" style="48" customWidth="1"/>
    <col min="10765" max="10765" width="17.7109375" style="48" bestFit="1" customWidth="1"/>
    <col min="10766" max="10766" width="5.7109375" style="48" bestFit="1" customWidth="1"/>
    <col min="10767" max="10767" width="34.28515625" style="48" customWidth="1"/>
    <col min="10768" max="10768" width="14.85546875" style="48" customWidth="1"/>
    <col min="10769" max="10769" width="39.85546875" style="48" customWidth="1"/>
    <col min="10770" max="10770" width="34.28515625" style="48" customWidth="1"/>
    <col min="10771" max="10771" width="14.85546875" style="48" customWidth="1"/>
    <col min="10772" max="10772" width="39.85546875" style="48" customWidth="1"/>
    <col min="10773" max="10773" width="34.28515625" style="48" customWidth="1"/>
    <col min="10774" max="10774" width="35" style="48" customWidth="1"/>
    <col min="10775" max="10775" width="39.85546875" style="48" customWidth="1"/>
    <col min="10776" max="11008" width="11.5703125" style="48"/>
    <col min="11009" max="11009" width="7.140625" style="48" customWidth="1"/>
    <col min="11010" max="11010" width="40.5703125" style="48" customWidth="1"/>
    <col min="11011" max="11011" width="25.28515625" style="48" bestFit="1" customWidth="1"/>
    <col min="11012" max="11012" width="0" style="48" hidden="1" customWidth="1"/>
    <col min="11013" max="11013" width="19.5703125" style="48" customWidth="1"/>
    <col min="11014" max="11014" width="0" style="48" hidden="1" customWidth="1"/>
    <col min="11015" max="11015" width="36.5703125" style="48" customWidth="1"/>
    <col min="11016" max="11016" width="21.7109375" style="48" bestFit="1" customWidth="1"/>
    <col min="11017" max="11017" width="21" style="48" customWidth="1"/>
    <col min="11018" max="11018" width="16.28515625" style="48" customWidth="1"/>
    <col min="11019" max="11019" width="11.28515625" style="48" bestFit="1" customWidth="1"/>
    <col min="11020" max="11020" width="8" style="48" customWidth="1"/>
    <col min="11021" max="11021" width="17.7109375" style="48" bestFit="1" customWidth="1"/>
    <col min="11022" max="11022" width="5.7109375" style="48" bestFit="1" customWidth="1"/>
    <col min="11023" max="11023" width="34.28515625" style="48" customWidth="1"/>
    <col min="11024" max="11024" width="14.85546875" style="48" customWidth="1"/>
    <col min="11025" max="11025" width="39.85546875" style="48" customWidth="1"/>
    <col min="11026" max="11026" width="34.28515625" style="48" customWidth="1"/>
    <col min="11027" max="11027" width="14.85546875" style="48" customWidth="1"/>
    <col min="11028" max="11028" width="39.85546875" style="48" customWidth="1"/>
    <col min="11029" max="11029" width="34.28515625" style="48" customWidth="1"/>
    <col min="11030" max="11030" width="35" style="48" customWidth="1"/>
    <col min="11031" max="11031" width="39.85546875" style="48" customWidth="1"/>
    <col min="11032" max="11264" width="11.5703125" style="48"/>
    <col min="11265" max="11265" width="7.140625" style="48" customWidth="1"/>
    <col min="11266" max="11266" width="40.5703125" style="48" customWidth="1"/>
    <col min="11267" max="11267" width="25.28515625" style="48" bestFit="1" customWidth="1"/>
    <col min="11268" max="11268" width="0" style="48" hidden="1" customWidth="1"/>
    <col min="11269" max="11269" width="19.5703125" style="48" customWidth="1"/>
    <col min="11270" max="11270" width="0" style="48" hidden="1" customWidth="1"/>
    <col min="11271" max="11271" width="36.5703125" style="48" customWidth="1"/>
    <col min="11272" max="11272" width="21.7109375" style="48" bestFit="1" customWidth="1"/>
    <col min="11273" max="11273" width="21" style="48" customWidth="1"/>
    <col min="11274" max="11274" width="16.28515625" style="48" customWidth="1"/>
    <col min="11275" max="11275" width="11.28515625" style="48" bestFit="1" customWidth="1"/>
    <col min="11276" max="11276" width="8" style="48" customWidth="1"/>
    <col min="11277" max="11277" width="17.7109375" style="48" bestFit="1" customWidth="1"/>
    <col min="11278" max="11278" width="5.7109375" style="48" bestFit="1" customWidth="1"/>
    <col min="11279" max="11279" width="34.28515625" style="48" customWidth="1"/>
    <col min="11280" max="11280" width="14.85546875" style="48" customWidth="1"/>
    <col min="11281" max="11281" width="39.85546875" style="48" customWidth="1"/>
    <col min="11282" max="11282" width="34.28515625" style="48" customWidth="1"/>
    <col min="11283" max="11283" width="14.85546875" style="48" customWidth="1"/>
    <col min="11284" max="11284" width="39.85546875" style="48" customWidth="1"/>
    <col min="11285" max="11285" width="34.28515625" style="48" customWidth="1"/>
    <col min="11286" max="11286" width="35" style="48" customWidth="1"/>
    <col min="11287" max="11287" width="39.85546875" style="48" customWidth="1"/>
    <col min="11288" max="11520" width="11.5703125" style="48"/>
    <col min="11521" max="11521" width="7.140625" style="48" customWidth="1"/>
    <col min="11522" max="11522" width="40.5703125" style="48" customWidth="1"/>
    <col min="11523" max="11523" width="25.28515625" style="48" bestFit="1" customWidth="1"/>
    <col min="11524" max="11524" width="0" style="48" hidden="1" customWidth="1"/>
    <col min="11525" max="11525" width="19.5703125" style="48" customWidth="1"/>
    <col min="11526" max="11526" width="0" style="48" hidden="1" customWidth="1"/>
    <col min="11527" max="11527" width="36.5703125" style="48" customWidth="1"/>
    <col min="11528" max="11528" width="21.7109375" style="48" bestFit="1" customWidth="1"/>
    <col min="11529" max="11529" width="21" style="48" customWidth="1"/>
    <col min="11530" max="11530" width="16.28515625" style="48" customWidth="1"/>
    <col min="11531" max="11531" width="11.28515625" style="48" bestFit="1" customWidth="1"/>
    <col min="11532" max="11532" width="8" style="48" customWidth="1"/>
    <col min="11533" max="11533" width="17.7109375" style="48" bestFit="1" customWidth="1"/>
    <col min="11534" max="11534" width="5.7109375" style="48" bestFit="1" customWidth="1"/>
    <col min="11535" max="11535" width="34.28515625" style="48" customWidth="1"/>
    <col min="11536" max="11536" width="14.85546875" style="48" customWidth="1"/>
    <col min="11537" max="11537" width="39.85546875" style="48" customWidth="1"/>
    <col min="11538" max="11538" width="34.28515625" style="48" customWidth="1"/>
    <col min="11539" max="11539" width="14.85546875" style="48" customWidth="1"/>
    <col min="11540" max="11540" width="39.85546875" style="48" customWidth="1"/>
    <col min="11541" max="11541" width="34.28515625" style="48" customWidth="1"/>
    <col min="11542" max="11542" width="35" style="48" customWidth="1"/>
    <col min="11543" max="11543" width="39.85546875" style="48" customWidth="1"/>
    <col min="11544" max="11776" width="11.5703125" style="48"/>
    <col min="11777" max="11777" width="7.140625" style="48" customWidth="1"/>
    <col min="11778" max="11778" width="40.5703125" style="48" customWidth="1"/>
    <col min="11779" max="11779" width="25.28515625" style="48" bestFit="1" customWidth="1"/>
    <col min="11780" max="11780" width="0" style="48" hidden="1" customWidth="1"/>
    <col min="11781" max="11781" width="19.5703125" style="48" customWidth="1"/>
    <col min="11782" max="11782" width="0" style="48" hidden="1" customWidth="1"/>
    <col min="11783" max="11783" width="36.5703125" style="48" customWidth="1"/>
    <col min="11784" max="11784" width="21.7109375" style="48" bestFit="1" customWidth="1"/>
    <col min="11785" max="11785" width="21" style="48" customWidth="1"/>
    <col min="11786" max="11786" width="16.28515625" style="48" customWidth="1"/>
    <col min="11787" max="11787" width="11.28515625" style="48" bestFit="1" customWidth="1"/>
    <col min="11788" max="11788" width="8" style="48" customWidth="1"/>
    <col min="11789" max="11789" width="17.7109375" style="48" bestFit="1" customWidth="1"/>
    <col min="11790" max="11790" width="5.7109375" style="48" bestFit="1" customWidth="1"/>
    <col min="11791" max="11791" width="34.28515625" style="48" customWidth="1"/>
    <col min="11792" max="11792" width="14.85546875" style="48" customWidth="1"/>
    <col min="11793" max="11793" width="39.85546875" style="48" customWidth="1"/>
    <col min="11794" max="11794" width="34.28515625" style="48" customWidth="1"/>
    <col min="11795" max="11795" width="14.85546875" style="48" customWidth="1"/>
    <col min="11796" max="11796" width="39.85546875" style="48" customWidth="1"/>
    <col min="11797" max="11797" width="34.28515625" style="48" customWidth="1"/>
    <col min="11798" max="11798" width="35" style="48" customWidth="1"/>
    <col min="11799" max="11799" width="39.85546875" style="48" customWidth="1"/>
    <col min="11800" max="12032" width="11.5703125" style="48"/>
    <col min="12033" max="12033" width="7.140625" style="48" customWidth="1"/>
    <col min="12034" max="12034" width="40.5703125" style="48" customWidth="1"/>
    <col min="12035" max="12035" width="25.28515625" style="48" bestFit="1" customWidth="1"/>
    <col min="12036" max="12036" width="0" style="48" hidden="1" customWidth="1"/>
    <col min="12037" max="12037" width="19.5703125" style="48" customWidth="1"/>
    <col min="12038" max="12038" width="0" style="48" hidden="1" customWidth="1"/>
    <col min="12039" max="12039" width="36.5703125" style="48" customWidth="1"/>
    <col min="12040" max="12040" width="21.7109375" style="48" bestFit="1" customWidth="1"/>
    <col min="12041" max="12041" width="21" style="48" customWidth="1"/>
    <col min="12042" max="12042" width="16.28515625" style="48" customWidth="1"/>
    <col min="12043" max="12043" width="11.28515625" style="48" bestFit="1" customWidth="1"/>
    <col min="12044" max="12044" width="8" style="48" customWidth="1"/>
    <col min="12045" max="12045" width="17.7109375" style="48" bestFit="1" customWidth="1"/>
    <col min="12046" max="12046" width="5.7109375" style="48" bestFit="1" customWidth="1"/>
    <col min="12047" max="12047" width="34.28515625" style="48" customWidth="1"/>
    <col min="12048" max="12048" width="14.85546875" style="48" customWidth="1"/>
    <col min="12049" max="12049" width="39.85546875" style="48" customWidth="1"/>
    <col min="12050" max="12050" width="34.28515625" style="48" customWidth="1"/>
    <col min="12051" max="12051" width="14.85546875" style="48" customWidth="1"/>
    <col min="12052" max="12052" width="39.85546875" style="48" customWidth="1"/>
    <col min="12053" max="12053" width="34.28515625" style="48" customWidth="1"/>
    <col min="12054" max="12054" width="35" style="48" customWidth="1"/>
    <col min="12055" max="12055" width="39.85546875" style="48" customWidth="1"/>
    <col min="12056" max="12288" width="11.5703125" style="48"/>
    <col min="12289" max="12289" width="7.140625" style="48" customWidth="1"/>
    <col min="12290" max="12290" width="40.5703125" style="48" customWidth="1"/>
    <col min="12291" max="12291" width="25.28515625" style="48" bestFit="1" customWidth="1"/>
    <col min="12292" max="12292" width="0" style="48" hidden="1" customWidth="1"/>
    <col min="12293" max="12293" width="19.5703125" style="48" customWidth="1"/>
    <col min="12294" max="12294" width="0" style="48" hidden="1" customWidth="1"/>
    <col min="12295" max="12295" width="36.5703125" style="48" customWidth="1"/>
    <col min="12296" max="12296" width="21.7109375" style="48" bestFit="1" customWidth="1"/>
    <col min="12297" max="12297" width="21" style="48" customWidth="1"/>
    <col min="12298" max="12298" width="16.28515625" style="48" customWidth="1"/>
    <col min="12299" max="12299" width="11.28515625" style="48" bestFit="1" customWidth="1"/>
    <col min="12300" max="12300" width="8" style="48" customWidth="1"/>
    <col min="12301" max="12301" width="17.7109375" style="48" bestFit="1" customWidth="1"/>
    <col min="12302" max="12302" width="5.7109375" style="48" bestFit="1" customWidth="1"/>
    <col min="12303" max="12303" width="34.28515625" style="48" customWidth="1"/>
    <col min="12304" max="12304" width="14.85546875" style="48" customWidth="1"/>
    <col min="12305" max="12305" width="39.85546875" style="48" customWidth="1"/>
    <col min="12306" max="12306" width="34.28515625" style="48" customWidth="1"/>
    <col min="12307" max="12307" width="14.85546875" style="48" customWidth="1"/>
    <col min="12308" max="12308" width="39.85546875" style="48" customWidth="1"/>
    <col min="12309" max="12309" width="34.28515625" style="48" customWidth="1"/>
    <col min="12310" max="12310" width="35" style="48" customWidth="1"/>
    <col min="12311" max="12311" width="39.85546875" style="48" customWidth="1"/>
    <col min="12312" max="12544" width="11.5703125" style="48"/>
    <col min="12545" max="12545" width="7.140625" style="48" customWidth="1"/>
    <col min="12546" max="12546" width="40.5703125" style="48" customWidth="1"/>
    <col min="12547" max="12547" width="25.28515625" style="48" bestFit="1" customWidth="1"/>
    <col min="12548" max="12548" width="0" style="48" hidden="1" customWidth="1"/>
    <col min="12549" max="12549" width="19.5703125" style="48" customWidth="1"/>
    <col min="12550" max="12550" width="0" style="48" hidden="1" customWidth="1"/>
    <col min="12551" max="12551" width="36.5703125" style="48" customWidth="1"/>
    <col min="12552" max="12552" width="21.7109375" style="48" bestFit="1" customWidth="1"/>
    <col min="12553" max="12553" width="21" style="48" customWidth="1"/>
    <col min="12554" max="12554" width="16.28515625" style="48" customWidth="1"/>
    <col min="12555" max="12555" width="11.28515625" style="48" bestFit="1" customWidth="1"/>
    <col min="12556" max="12556" width="8" style="48" customWidth="1"/>
    <col min="12557" max="12557" width="17.7109375" style="48" bestFit="1" customWidth="1"/>
    <col min="12558" max="12558" width="5.7109375" style="48" bestFit="1" customWidth="1"/>
    <col min="12559" max="12559" width="34.28515625" style="48" customWidth="1"/>
    <col min="12560" max="12560" width="14.85546875" style="48" customWidth="1"/>
    <col min="12561" max="12561" width="39.85546875" style="48" customWidth="1"/>
    <col min="12562" max="12562" width="34.28515625" style="48" customWidth="1"/>
    <col min="12563" max="12563" width="14.85546875" style="48" customWidth="1"/>
    <col min="12564" max="12564" width="39.85546875" style="48" customWidth="1"/>
    <col min="12565" max="12565" width="34.28515625" style="48" customWidth="1"/>
    <col min="12566" max="12566" width="35" style="48" customWidth="1"/>
    <col min="12567" max="12567" width="39.85546875" style="48" customWidth="1"/>
    <col min="12568" max="12800" width="11.5703125" style="48"/>
    <col min="12801" max="12801" width="7.140625" style="48" customWidth="1"/>
    <col min="12802" max="12802" width="40.5703125" style="48" customWidth="1"/>
    <col min="12803" max="12803" width="25.28515625" style="48" bestFit="1" customWidth="1"/>
    <col min="12804" max="12804" width="0" style="48" hidden="1" customWidth="1"/>
    <col min="12805" max="12805" width="19.5703125" style="48" customWidth="1"/>
    <col min="12806" max="12806" width="0" style="48" hidden="1" customWidth="1"/>
    <col min="12807" max="12807" width="36.5703125" style="48" customWidth="1"/>
    <col min="12808" max="12808" width="21.7109375" style="48" bestFit="1" customWidth="1"/>
    <col min="12809" max="12809" width="21" style="48" customWidth="1"/>
    <col min="12810" max="12810" width="16.28515625" style="48" customWidth="1"/>
    <col min="12811" max="12811" width="11.28515625" style="48" bestFit="1" customWidth="1"/>
    <col min="12812" max="12812" width="8" style="48" customWidth="1"/>
    <col min="12813" max="12813" width="17.7109375" style="48" bestFit="1" customWidth="1"/>
    <col min="12814" max="12814" width="5.7109375" style="48" bestFit="1" customWidth="1"/>
    <col min="12815" max="12815" width="34.28515625" style="48" customWidth="1"/>
    <col min="12816" max="12816" width="14.85546875" style="48" customWidth="1"/>
    <col min="12817" max="12817" width="39.85546875" style="48" customWidth="1"/>
    <col min="12818" max="12818" width="34.28515625" style="48" customWidth="1"/>
    <col min="12819" max="12819" width="14.85546875" style="48" customWidth="1"/>
    <col min="12820" max="12820" width="39.85546875" style="48" customWidth="1"/>
    <col min="12821" max="12821" width="34.28515625" style="48" customWidth="1"/>
    <col min="12822" max="12822" width="35" style="48" customWidth="1"/>
    <col min="12823" max="12823" width="39.85546875" style="48" customWidth="1"/>
    <col min="12824" max="13056" width="11.5703125" style="48"/>
    <col min="13057" max="13057" width="7.140625" style="48" customWidth="1"/>
    <col min="13058" max="13058" width="40.5703125" style="48" customWidth="1"/>
    <col min="13059" max="13059" width="25.28515625" style="48" bestFit="1" customWidth="1"/>
    <col min="13060" max="13060" width="0" style="48" hidden="1" customWidth="1"/>
    <col min="13061" max="13061" width="19.5703125" style="48" customWidth="1"/>
    <col min="13062" max="13062" width="0" style="48" hidden="1" customWidth="1"/>
    <col min="13063" max="13063" width="36.5703125" style="48" customWidth="1"/>
    <col min="13064" max="13064" width="21.7109375" style="48" bestFit="1" customWidth="1"/>
    <col min="13065" max="13065" width="21" style="48" customWidth="1"/>
    <col min="13066" max="13066" width="16.28515625" style="48" customWidth="1"/>
    <col min="13067" max="13067" width="11.28515625" style="48" bestFit="1" customWidth="1"/>
    <col min="13068" max="13068" width="8" style="48" customWidth="1"/>
    <col min="13069" max="13069" width="17.7109375" style="48" bestFit="1" customWidth="1"/>
    <col min="13070" max="13070" width="5.7109375" style="48" bestFit="1" customWidth="1"/>
    <col min="13071" max="13071" width="34.28515625" style="48" customWidth="1"/>
    <col min="13072" max="13072" width="14.85546875" style="48" customWidth="1"/>
    <col min="13073" max="13073" width="39.85546875" style="48" customWidth="1"/>
    <col min="13074" max="13074" width="34.28515625" style="48" customWidth="1"/>
    <col min="13075" max="13075" width="14.85546875" style="48" customWidth="1"/>
    <col min="13076" max="13076" width="39.85546875" style="48" customWidth="1"/>
    <col min="13077" max="13077" width="34.28515625" style="48" customWidth="1"/>
    <col min="13078" max="13078" width="35" style="48" customWidth="1"/>
    <col min="13079" max="13079" width="39.85546875" style="48" customWidth="1"/>
    <col min="13080" max="13312" width="11.5703125" style="48"/>
    <col min="13313" max="13313" width="7.140625" style="48" customWidth="1"/>
    <col min="13314" max="13314" width="40.5703125" style="48" customWidth="1"/>
    <col min="13315" max="13315" width="25.28515625" style="48" bestFit="1" customWidth="1"/>
    <col min="13316" max="13316" width="0" style="48" hidden="1" customWidth="1"/>
    <col min="13317" max="13317" width="19.5703125" style="48" customWidth="1"/>
    <col min="13318" max="13318" width="0" style="48" hidden="1" customWidth="1"/>
    <col min="13319" max="13319" width="36.5703125" style="48" customWidth="1"/>
    <col min="13320" max="13320" width="21.7109375" style="48" bestFit="1" customWidth="1"/>
    <col min="13321" max="13321" width="21" style="48" customWidth="1"/>
    <col min="13322" max="13322" width="16.28515625" style="48" customWidth="1"/>
    <col min="13323" max="13323" width="11.28515625" style="48" bestFit="1" customWidth="1"/>
    <col min="13324" max="13324" width="8" style="48" customWidth="1"/>
    <col min="13325" max="13325" width="17.7109375" style="48" bestFit="1" customWidth="1"/>
    <col min="13326" max="13326" width="5.7109375" style="48" bestFit="1" customWidth="1"/>
    <col min="13327" max="13327" width="34.28515625" style="48" customWidth="1"/>
    <col min="13328" max="13328" width="14.85546875" style="48" customWidth="1"/>
    <col min="13329" max="13329" width="39.85546875" style="48" customWidth="1"/>
    <col min="13330" max="13330" width="34.28515625" style="48" customWidth="1"/>
    <col min="13331" max="13331" width="14.85546875" style="48" customWidth="1"/>
    <col min="13332" max="13332" width="39.85546875" style="48" customWidth="1"/>
    <col min="13333" max="13333" width="34.28515625" style="48" customWidth="1"/>
    <col min="13334" max="13334" width="35" style="48" customWidth="1"/>
    <col min="13335" max="13335" width="39.85546875" style="48" customWidth="1"/>
    <col min="13336" max="13568" width="11.5703125" style="48"/>
    <col min="13569" max="13569" width="7.140625" style="48" customWidth="1"/>
    <col min="13570" max="13570" width="40.5703125" style="48" customWidth="1"/>
    <col min="13571" max="13571" width="25.28515625" style="48" bestFit="1" customWidth="1"/>
    <col min="13572" max="13572" width="0" style="48" hidden="1" customWidth="1"/>
    <col min="13573" max="13573" width="19.5703125" style="48" customWidth="1"/>
    <col min="13574" max="13574" width="0" style="48" hidden="1" customWidth="1"/>
    <col min="13575" max="13575" width="36.5703125" style="48" customWidth="1"/>
    <col min="13576" max="13576" width="21.7109375" style="48" bestFit="1" customWidth="1"/>
    <col min="13577" max="13577" width="21" style="48" customWidth="1"/>
    <col min="13578" max="13578" width="16.28515625" style="48" customWidth="1"/>
    <col min="13579" max="13579" width="11.28515625" style="48" bestFit="1" customWidth="1"/>
    <col min="13580" max="13580" width="8" style="48" customWidth="1"/>
    <col min="13581" max="13581" width="17.7109375" style="48" bestFit="1" customWidth="1"/>
    <col min="13582" max="13582" width="5.7109375" style="48" bestFit="1" customWidth="1"/>
    <col min="13583" max="13583" width="34.28515625" style="48" customWidth="1"/>
    <col min="13584" max="13584" width="14.85546875" style="48" customWidth="1"/>
    <col min="13585" max="13585" width="39.85546875" style="48" customWidth="1"/>
    <col min="13586" max="13586" width="34.28515625" style="48" customWidth="1"/>
    <col min="13587" max="13587" width="14.85546875" style="48" customWidth="1"/>
    <col min="13588" max="13588" width="39.85546875" style="48" customWidth="1"/>
    <col min="13589" max="13589" width="34.28515625" style="48" customWidth="1"/>
    <col min="13590" max="13590" width="35" style="48" customWidth="1"/>
    <col min="13591" max="13591" width="39.85546875" style="48" customWidth="1"/>
    <col min="13592" max="13824" width="11.5703125" style="48"/>
    <col min="13825" max="13825" width="7.140625" style="48" customWidth="1"/>
    <col min="13826" max="13826" width="40.5703125" style="48" customWidth="1"/>
    <col min="13827" max="13827" width="25.28515625" style="48" bestFit="1" customWidth="1"/>
    <col min="13828" max="13828" width="0" style="48" hidden="1" customWidth="1"/>
    <col min="13829" max="13829" width="19.5703125" style="48" customWidth="1"/>
    <col min="13830" max="13830" width="0" style="48" hidden="1" customWidth="1"/>
    <col min="13831" max="13831" width="36.5703125" style="48" customWidth="1"/>
    <col min="13832" max="13832" width="21.7109375" style="48" bestFit="1" customWidth="1"/>
    <col min="13833" max="13833" width="21" style="48" customWidth="1"/>
    <col min="13834" max="13834" width="16.28515625" style="48" customWidth="1"/>
    <col min="13835" max="13835" width="11.28515625" style="48" bestFit="1" customWidth="1"/>
    <col min="13836" max="13836" width="8" style="48" customWidth="1"/>
    <col min="13837" max="13837" width="17.7109375" style="48" bestFit="1" customWidth="1"/>
    <col min="13838" max="13838" width="5.7109375" style="48" bestFit="1" customWidth="1"/>
    <col min="13839" max="13839" width="34.28515625" style="48" customWidth="1"/>
    <col min="13840" max="13840" width="14.85546875" style="48" customWidth="1"/>
    <col min="13841" max="13841" width="39.85546875" style="48" customWidth="1"/>
    <col min="13842" max="13842" width="34.28515625" style="48" customWidth="1"/>
    <col min="13843" max="13843" width="14.85546875" style="48" customWidth="1"/>
    <col min="13844" max="13844" width="39.85546875" style="48" customWidth="1"/>
    <col min="13845" max="13845" width="34.28515625" style="48" customWidth="1"/>
    <col min="13846" max="13846" width="35" style="48" customWidth="1"/>
    <col min="13847" max="13847" width="39.85546875" style="48" customWidth="1"/>
    <col min="13848" max="14080" width="11.5703125" style="48"/>
    <col min="14081" max="14081" width="7.140625" style="48" customWidth="1"/>
    <col min="14082" max="14082" width="40.5703125" style="48" customWidth="1"/>
    <col min="14083" max="14083" width="25.28515625" style="48" bestFit="1" customWidth="1"/>
    <col min="14084" max="14084" width="0" style="48" hidden="1" customWidth="1"/>
    <col min="14085" max="14085" width="19.5703125" style="48" customWidth="1"/>
    <col min="14086" max="14086" width="0" style="48" hidden="1" customWidth="1"/>
    <col min="14087" max="14087" width="36.5703125" style="48" customWidth="1"/>
    <col min="14088" max="14088" width="21.7109375" style="48" bestFit="1" customWidth="1"/>
    <col min="14089" max="14089" width="21" style="48" customWidth="1"/>
    <col min="14090" max="14090" width="16.28515625" style="48" customWidth="1"/>
    <col min="14091" max="14091" width="11.28515625" style="48" bestFit="1" customWidth="1"/>
    <col min="14092" max="14092" width="8" style="48" customWidth="1"/>
    <col min="14093" max="14093" width="17.7109375" style="48" bestFit="1" customWidth="1"/>
    <col min="14094" max="14094" width="5.7109375" style="48" bestFit="1" customWidth="1"/>
    <col min="14095" max="14095" width="34.28515625" style="48" customWidth="1"/>
    <col min="14096" max="14096" width="14.85546875" style="48" customWidth="1"/>
    <col min="14097" max="14097" width="39.85546875" style="48" customWidth="1"/>
    <col min="14098" max="14098" width="34.28515625" style="48" customWidth="1"/>
    <col min="14099" max="14099" width="14.85546875" style="48" customWidth="1"/>
    <col min="14100" max="14100" width="39.85546875" style="48" customWidth="1"/>
    <col min="14101" max="14101" width="34.28515625" style="48" customWidth="1"/>
    <col min="14102" max="14102" width="35" style="48" customWidth="1"/>
    <col min="14103" max="14103" width="39.85546875" style="48" customWidth="1"/>
    <col min="14104" max="14336" width="11.5703125" style="48"/>
    <col min="14337" max="14337" width="7.140625" style="48" customWidth="1"/>
    <col min="14338" max="14338" width="40.5703125" style="48" customWidth="1"/>
    <col min="14339" max="14339" width="25.28515625" style="48" bestFit="1" customWidth="1"/>
    <col min="14340" max="14340" width="0" style="48" hidden="1" customWidth="1"/>
    <col min="14341" max="14341" width="19.5703125" style="48" customWidth="1"/>
    <col min="14342" max="14342" width="0" style="48" hidden="1" customWidth="1"/>
    <col min="14343" max="14343" width="36.5703125" style="48" customWidth="1"/>
    <col min="14344" max="14344" width="21.7109375" style="48" bestFit="1" customWidth="1"/>
    <col min="14345" max="14345" width="21" style="48" customWidth="1"/>
    <col min="14346" max="14346" width="16.28515625" style="48" customWidth="1"/>
    <col min="14347" max="14347" width="11.28515625" style="48" bestFit="1" customWidth="1"/>
    <col min="14348" max="14348" width="8" style="48" customWidth="1"/>
    <col min="14349" max="14349" width="17.7109375" style="48" bestFit="1" customWidth="1"/>
    <col min="14350" max="14350" width="5.7109375" style="48" bestFit="1" customWidth="1"/>
    <col min="14351" max="14351" width="34.28515625" style="48" customWidth="1"/>
    <col min="14352" max="14352" width="14.85546875" style="48" customWidth="1"/>
    <col min="14353" max="14353" width="39.85546875" style="48" customWidth="1"/>
    <col min="14354" max="14354" width="34.28515625" style="48" customWidth="1"/>
    <col min="14355" max="14355" width="14.85546875" style="48" customWidth="1"/>
    <col min="14356" max="14356" width="39.85546875" style="48" customWidth="1"/>
    <col min="14357" max="14357" width="34.28515625" style="48" customWidth="1"/>
    <col min="14358" max="14358" width="35" style="48" customWidth="1"/>
    <col min="14359" max="14359" width="39.85546875" style="48" customWidth="1"/>
    <col min="14360" max="14592" width="11.5703125" style="48"/>
    <col min="14593" max="14593" width="7.140625" style="48" customWidth="1"/>
    <col min="14594" max="14594" width="40.5703125" style="48" customWidth="1"/>
    <col min="14595" max="14595" width="25.28515625" style="48" bestFit="1" customWidth="1"/>
    <col min="14596" max="14596" width="0" style="48" hidden="1" customWidth="1"/>
    <col min="14597" max="14597" width="19.5703125" style="48" customWidth="1"/>
    <col min="14598" max="14598" width="0" style="48" hidden="1" customWidth="1"/>
    <col min="14599" max="14599" width="36.5703125" style="48" customWidth="1"/>
    <col min="14600" max="14600" width="21.7109375" style="48" bestFit="1" customWidth="1"/>
    <col min="14601" max="14601" width="21" style="48" customWidth="1"/>
    <col min="14602" max="14602" width="16.28515625" style="48" customWidth="1"/>
    <col min="14603" max="14603" width="11.28515625" style="48" bestFit="1" customWidth="1"/>
    <col min="14604" max="14604" width="8" style="48" customWidth="1"/>
    <col min="14605" max="14605" width="17.7109375" style="48" bestFit="1" customWidth="1"/>
    <col min="14606" max="14606" width="5.7109375" style="48" bestFit="1" customWidth="1"/>
    <col min="14607" max="14607" width="34.28515625" style="48" customWidth="1"/>
    <col min="14608" max="14608" width="14.85546875" style="48" customWidth="1"/>
    <col min="14609" max="14609" width="39.85546875" style="48" customWidth="1"/>
    <col min="14610" max="14610" width="34.28515625" style="48" customWidth="1"/>
    <col min="14611" max="14611" width="14.85546875" style="48" customWidth="1"/>
    <col min="14612" max="14612" width="39.85546875" style="48" customWidth="1"/>
    <col min="14613" max="14613" width="34.28515625" style="48" customWidth="1"/>
    <col min="14614" max="14614" width="35" style="48" customWidth="1"/>
    <col min="14615" max="14615" width="39.85546875" style="48" customWidth="1"/>
    <col min="14616" max="14848" width="11.5703125" style="48"/>
    <col min="14849" max="14849" width="7.140625" style="48" customWidth="1"/>
    <col min="14850" max="14850" width="40.5703125" style="48" customWidth="1"/>
    <col min="14851" max="14851" width="25.28515625" style="48" bestFit="1" customWidth="1"/>
    <col min="14852" max="14852" width="0" style="48" hidden="1" customWidth="1"/>
    <col min="14853" max="14853" width="19.5703125" style="48" customWidth="1"/>
    <col min="14854" max="14854" width="0" style="48" hidden="1" customWidth="1"/>
    <col min="14855" max="14855" width="36.5703125" style="48" customWidth="1"/>
    <col min="14856" max="14856" width="21.7109375" style="48" bestFit="1" customWidth="1"/>
    <col min="14857" max="14857" width="21" style="48" customWidth="1"/>
    <col min="14858" max="14858" width="16.28515625" style="48" customWidth="1"/>
    <col min="14859" max="14859" width="11.28515625" style="48" bestFit="1" customWidth="1"/>
    <col min="14860" max="14860" width="8" style="48" customWidth="1"/>
    <col min="14861" max="14861" width="17.7109375" style="48" bestFit="1" customWidth="1"/>
    <col min="14862" max="14862" width="5.7109375" style="48" bestFit="1" customWidth="1"/>
    <col min="14863" max="14863" width="34.28515625" style="48" customWidth="1"/>
    <col min="14864" max="14864" width="14.85546875" style="48" customWidth="1"/>
    <col min="14865" max="14865" width="39.85546875" style="48" customWidth="1"/>
    <col min="14866" max="14866" width="34.28515625" style="48" customWidth="1"/>
    <col min="14867" max="14867" width="14.85546875" style="48" customWidth="1"/>
    <col min="14868" max="14868" width="39.85546875" style="48" customWidth="1"/>
    <col min="14869" max="14869" width="34.28515625" style="48" customWidth="1"/>
    <col min="14870" max="14870" width="35" style="48" customWidth="1"/>
    <col min="14871" max="14871" width="39.85546875" style="48" customWidth="1"/>
    <col min="14872" max="15104" width="11.5703125" style="48"/>
    <col min="15105" max="15105" width="7.140625" style="48" customWidth="1"/>
    <col min="15106" max="15106" width="40.5703125" style="48" customWidth="1"/>
    <col min="15107" max="15107" width="25.28515625" style="48" bestFit="1" customWidth="1"/>
    <col min="15108" max="15108" width="0" style="48" hidden="1" customWidth="1"/>
    <col min="15109" max="15109" width="19.5703125" style="48" customWidth="1"/>
    <col min="15110" max="15110" width="0" style="48" hidden="1" customWidth="1"/>
    <col min="15111" max="15111" width="36.5703125" style="48" customWidth="1"/>
    <col min="15112" max="15112" width="21.7109375" style="48" bestFit="1" customWidth="1"/>
    <col min="15113" max="15113" width="21" style="48" customWidth="1"/>
    <col min="15114" max="15114" width="16.28515625" style="48" customWidth="1"/>
    <col min="15115" max="15115" width="11.28515625" style="48" bestFit="1" customWidth="1"/>
    <col min="15116" max="15116" width="8" style="48" customWidth="1"/>
    <col min="15117" max="15117" width="17.7109375" style="48" bestFit="1" customWidth="1"/>
    <col min="15118" max="15118" width="5.7109375" style="48" bestFit="1" customWidth="1"/>
    <col min="15119" max="15119" width="34.28515625" style="48" customWidth="1"/>
    <col min="15120" max="15120" width="14.85546875" style="48" customWidth="1"/>
    <col min="15121" max="15121" width="39.85546875" style="48" customWidth="1"/>
    <col min="15122" max="15122" width="34.28515625" style="48" customWidth="1"/>
    <col min="15123" max="15123" width="14.85546875" style="48" customWidth="1"/>
    <col min="15124" max="15124" width="39.85546875" style="48" customWidth="1"/>
    <col min="15125" max="15125" width="34.28515625" style="48" customWidth="1"/>
    <col min="15126" max="15126" width="35" style="48" customWidth="1"/>
    <col min="15127" max="15127" width="39.85546875" style="48" customWidth="1"/>
    <col min="15128" max="15360" width="11.5703125" style="48"/>
    <col min="15361" max="15361" width="7.140625" style="48" customWidth="1"/>
    <col min="15362" max="15362" width="40.5703125" style="48" customWidth="1"/>
    <col min="15363" max="15363" width="25.28515625" style="48" bestFit="1" customWidth="1"/>
    <col min="15364" max="15364" width="0" style="48" hidden="1" customWidth="1"/>
    <col min="15365" max="15365" width="19.5703125" style="48" customWidth="1"/>
    <col min="15366" max="15366" width="0" style="48" hidden="1" customWidth="1"/>
    <col min="15367" max="15367" width="36.5703125" style="48" customWidth="1"/>
    <col min="15368" max="15368" width="21.7109375" style="48" bestFit="1" customWidth="1"/>
    <col min="15369" max="15369" width="21" style="48" customWidth="1"/>
    <col min="15370" max="15370" width="16.28515625" style="48" customWidth="1"/>
    <col min="15371" max="15371" width="11.28515625" style="48" bestFit="1" customWidth="1"/>
    <col min="15372" max="15372" width="8" style="48" customWidth="1"/>
    <col min="15373" max="15373" width="17.7109375" style="48" bestFit="1" customWidth="1"/>
    <col min="15374" max="15374" width="5.7109375" style="48" bestFit="1" customWidth="1"/>
    <col min="15375" max="15375" width="34.28515625" style="48" customWidth="1"/>
    <col min="15376" max="15376" width="14.85546875" style="48" customWidth="1"/>
    <col min="15377" max="15377" width="39.85546875" style="48" customWidth="1"/>
    <col min="15378" max="15378" width="34.28515625" style="48" customWidth="1"/>
    <col min="15379" max="15379" width="14.85546875" style="48" customWidth="1"/>
    <col min="15380" max="15380" width="39.85546875" style="48" customWidth="1"/>
    <col min="15381" max="15381" width="34.28515625" style="48" customWidth="1"/>
    <col min="15382" max="15382" width="35" style="48" customWidth="1"/>
    <col min="15383" max="15383" width="39.85546875" style="48" customWidth="1"/>
    <col min="15384" max="15616" width="11.5703125" style="48"/>
    <col min="15617" max="15617" width="7.140625" style="48" customWidth="1"/>
    <col min="15618" max="15618" width="40.5703125" style="48" customWidth="1"/>
    <col min="15619" max="15619" width="25.28515625" style="48" bestFit="1" customWidth="1"/>
    <col min="15620" max="15620" width="0" style="48" hidden="1" customWidth="1"/>
    <col min="15621" max="15621" width="19.5703125" style="48" customWidth="1"/>
    <col min="15622" max="15622" width="0" style="48" hidden="1" customWidth="1"/>
    <col min="15623" max="15623" width="36.5703125" style="48" customWidth="1"/>
    <col min="15624" max="15624" width="21.7109375" style="48" bestFit="1" customWidth="1"/>
    <col min="15625" max="15625" width="21" style="48" customWidth="1"/>
    <col min="15626" max="15626" width="16.28515625" style="48" customWidth="1"/>
    <col min="15627" max="15627" width="11.28515625" style="48" bestFit="1" customWidth="1"/>
    <col min="15628" max="15628" width="8" style="48" customWidth="1"/>
    <col min="15629" max="15629" width="17.7109375" style="48" bestFit="1" customWidth="1"/>
    <col min="15630" max="15630" width="5.7109375" style="48" bestFit="1" customWidth="1"/>
    <col min="15631" max="15631" width="34.28515625" style="48" customWidth="1"/>
    <col min="15632" max="15632" width="14.85546875" style="48" customWidth="1"/>
    <col min="15633" max="15633" width="39.85546875" style="48" customWidth="1"/>
    <col min="15634" max="15634" width="34.28515625" style="48" customWidth="1"/>
    <col min="15635" max="15635" width="14.85546875" style="48" customWidth="1"/>
    <col min="15636" max="15636" width="39.85546875" style="48" customWidth="1"/>
    <col min="15637" max="15637" width="34.28515625" style="48" customWidth="1"/>
    <col min="15638" max="15638" width="35" style="48" customWidth="1"/>
    <col min="15639" max="15639" width="39.85546875" style="48" customWidth="1"/>
    <col min="15640" max="15872" width="11.5703125" style="48"/>
    <col min="15873" max="15873" width="7.140625" style="48" customWidth="1"/>
    <col min="15874" max="15874" width="40.5703125" style="48" customWidth="1"/>
    <col min="15875" max="15875" width="25.28515625" style="48" bestFit="1" customWidth="1"/>
    <col min="15876" max="15876" width="0" style="48" hidden="1" customWidth="1"/>
    <col min="15877" max="15877" width="19.5703125" style="48" customWidth="1"/>
    <col min="15878" max="15878" width="0" style="48" hidden="1" customWidth="1"/>
    <col min="15879" max="15879" width="36.5703125" style="48" customWidth="1"/>
    <col min="15880" max="15880" width="21.7109375" style="48" bestFit="1" customWidth="1"/>
    <col min="15881" max="15881" width="21" style="48" customWidth="1"/>
    <col min="15882" max="15882" width="16.28515625" style="48" customWidth="1"/>
    <col min="15883" max="15883" width="11.28515625" style="48" bestFit="1" customWidth="1"/>
    <col min="15884" max="15884" width="8" style="48" customWidth="1"/>
    <col min="15885" max="15885" width="17.7109375" style="48" bestFit="1" customWidth="1"/>
    <col min="15886" max="15886" width="5.7109375" style="48" bestFit="1" customWidth="1"/>
    <col min="15887" max="15887" width="34.28515625" style="48" customWidth="1"/>
    <col min="15888" max="15888" width="14.85546875" style="48" customWidth="1"/>
    <col min="15889" max="15889" width="39.85546875" style="48" customWidth="1"/>
    <col min="15890" max="15890" width="34.28515625" style="48" customWidth="1"/>
    <col min="15891" max="15891" width="14.85546875" style="48" customWidth="1"/>
    <col min="15892" max="15892" width="39.85546875" style="48" customWidth="1"/>
    <col min="15893" max="15893" width="34.28515625" style="48" customWidth="1"/>
    <col min="15894" max="15894" width="35" style="48" customWidth="1"/>
    <col min="15895" max="15895" width="39.85546875" style="48" customWidth="1"/>
    <col min="15896" max="16128" width="11.5703125" style="48"/>
    <col min="16129" max="16129" width="7.140625" style="48" customWidth="1"/>
    <col min="16130" max="16130" width="40.5703125" style="48" customWidth="1"/>
    <col min="16131" max="16131" width="25.28515625" style="48" bestFit="1" customWidth="1"/>
    <col min="16132" max="16132" width="0" style="48" hidden="1" customWidth="1"/>
    <col min="16133" max="16133" width="19.5703125" style="48" customWidth="1"/>
    <col min="16134" max="16134" width="0" style="48" hidden="1" customWidth="1"/>
    <col min="16135" max="16135" width="36.5703125" style="48" customWidth="1"/>
    <col min="16136" max="16136" width="21.7109375" style="48" bestFit="1" customWidth="1"/>
    <col min="16137" max="16137" width="21" style="48" customWidth="1"/>
    <col min="16138" max="16138" width="16.28515625" style="48" customWidth="1"/>
    <col min="16139" max="16139" width="11.28515625" style="48" bestFit="1" customWidth="1"/>
    <col min="16140" max="16140" width="8" style="48" customWidth="1"/>
    <col min="16141" max="16141" width="17.7109375" style="48" bestFit="1" customWidth="1"/>
    <col min="16142" max="16142" width="5.7109375" style="48" bestFit="1" customWidth="1"/>
    <col min="16143" max="16143" width="34.28515625" style="48" customWidth="1"/>
    <col min="16144" max="16144" width="14.85546875" style="48" customWidth="1"/>
    <col min="16145" max="16145" width="39.85546875" style="48" customWidth="1"/>
    <col min="16146" max="16146" width="34.28515625" style="48" customWidth="1"/>
    <col min="16147" max="16147" width="14.85546875" style="48" customWidth="1"/>
    <col min="16148" max="16148" width="39.85546875" style="48" customWidth="1"/>
    <col min="16149" max="16149" width="34.28515625" style="48" customWidth="1"/>
    <col min="16150" max="16150" width="35" style="48" customWidth="1"/>
    <col min="16151" max="16151" width="39.85546875" style="48" customWidth="1"/>
    <col min="16152" max="16384" width="11.5703125" style="48"/>
  </cols>
  <sheetData>
    <row r="1" spans="2:23" ht="9" customHeight="1" thickBot="1"/>
    <row r="2" spans="2:23" s="60" customFormat="1" ht="75" customHeight="1" thickBot="1">
      <c r="B2" s="1528"/>
      <c r="C2" s="1529"/>
      <c r="D2" s="797"/>
      <c r="E2" s="1466" t="s">
        <v>1155</v>
      </c>
      <c r="F2" s="1467"/>
      <c r="G2" s="1467"/>
      <c r="H2" s="1467"/>
      <c r="I2" s="1467"/>
      <c r="J2" s="1467"/>
      <c r="K2" s="1467"/>
      <c r="L2" s="1467"/>
      <c r="M2" s="1467"/>
      <c r="N2" s="1467"/>
      <c r="O2" s="1467"/>
      <c r="P2" s="1467"/>
      <c r="Q2" s="1467"/>
      <c r="R2" s="1467"/>
      <c r="S2" s="1467"/>
      <c r="T2" s="1467"/>
      <c r="U2" s="798"/>
    </row>
    <row r="3" spans="2:23" ht="20.45" customHeight="1" thickBot="1">
      <c r="H3" s="799"/>
      <c r="I3" s="800"/>
      <c r="K3" s="1469" t="s">
        <v>228</v>
      </c>
      <c r="L3" s="1469"/>
      <c r="M3" s="1469"/>
      <c r="N3" s="1469"/>
      <c r="O3" s="1469"/>
      <c r="P3" s="1469"/>
      <c r="Q3" s="1469"/>
    </row>
    <row r="4" spans="2:23" ht="21.6" customHeight="1" thickBot="1">
      <c r="B4" s="1530" t="s">
        <v>48</v>
      </c>
      <c r="C4" s="1530" t="s">
        <v>49</v>
      </c>
      <c r="D4" s="1530" t="s">
        <v>49</v>
      </c>
      <c r="E4" s="1530" t="s">
        <v>229</v>
      </c>
      <c r="F4" s="1530" t="s">
        <v>230</v>
      </c>
      <c r="G4" s="1530" t="s">
        <v>131</v>
      </c>
      <c r="H4" s="1530" t="s">
        <v>231</v>
      </c>
      <c r="I4" s="1530" t="s">
        <v>232</v>
      </c>
      <c r="J4" s="1530" t="s">
        <v>233</v>
      </c>
      <c r="K4" s="1530" t="s">
        <v>234</v>
      </c>
      <c r="L4" s="1530"/>
      <c r="M4" s="1530"/>
      <c r="N4" s="1530"/>
      <c r="O4" s="1519" t="s">
        <v>1306</v>
      </c>
      <c r="P4" s="1520"/>
      <c r="Q4" s="1521"/>
      <c r="R4" s="1519" t="s">
        <v>1446</v>
      </c>
      <c r="S4" s="1520"/>
      <c r="T4" s="1521"/>
      <c r="U4" s="1519" t="s">
        <v>1447</v>
      </c>
      <c r="V4" s="1520"/>
      <c r="W4" s="1521"/>
    </row>
    <row r="5" spans="2:23" ht="21.6" customHeight="1" thickBot="1">
      <c r="B5" s="1530"/>
      <c r="C5" s="1530"/>
      <c r="D5" s="1530"/>
      <c r="E5" s="1530"/>
      <c r="F5" s="1530"/>
      <c r="G5" s="1530"/>
      <c r="H5" s="1530"/>
      <c r="I5" s="1530"/>
      <c r="J5" s="1530"/>
      <c r="K5" s="1522" t="s">
        <v>236</v>
      </c>
      <c r="L5" s="1522"/>
      <c r="M5" s="1523" t="s">
        <v>237</v>
      </c>
      <c r="N5" s="1523"/>
      <c r="O5" s="1524" t="s">
        <v>18</v>
      </c>
      <c r="P5" s="1526" t="s">
        <v>1156</v>
      </c>
      <c r="Q5" s="1524" t="s">
        <v>71</v>
      </c>
      <c r="R5" s="1524" t="s">
        <v>18</v>
      </c>
      <c r="S5" s="1526" t="s">
        <v>1156</v>
      </c>
      <c r="T5" s="1524" t="s">
        <v>71</v>
      </c>
      <c r="U5" s="1524" t="s">
        <v>18</v>
      </c>
      <c r="V5" s="1526" t="s">
        <v>1156</v>
      </c>
      <c r="W5" s="1524" t="s">
        <v>1000</v>
      </c>
    </row>
    <row r="6" spans="2:23" ht="19.149999999999999" customHeight="1" thickBot="1">
      <c r="B6" s="1530"/>
      <c r="C6" s="1530"/>
      <c r="D6" s="1530"/>
      <c r="E6" s="1530"/>
      <c r="F6" s="694" t="s">
        <v>238</v>
      </c>
      <c r="G6" s="1530"/>
      <c r="H6" s="1530"/>
      <c r="I6" s="1530"/>
      <c r="J6" s="1530"/>
      <c r="K6" s="62" t="s">
        <v>239</v>
      </c>
      <c r="L6" s="62" t="s">
        <v>240</v>
      </c>
      <c r="M6" s="62" t="s">
        <v>239</v>
      </c>
      <c r="N6" s="62" t="s">
        <v>240</v>
      </c>
      <c r="O6" s="1525"/>
      <c r="P6" s="1527"/>
      <c r="Q6" s="1525"/>
      <c r="R6" s="1525"/>
      <c r="S6" s="1527"/>
      <c r="T6" s="1525"/>
      <c r="U6" s="1525"/>
      <c r="V6" s="1527"/>
      <c r="W6" s="1525"/>
    </row>
    <row r="7" spans="2:23" ht="81.599999999999994" customHeight="1">
      <c r="B7" s="560" t="s">
        <v>1157</v>
      </c>
      <c r="C7" s="801">
        <f>+C8</f>
        <v>1016742417</v>
      </c>
      <c r="D7" s="801">
        <f>+D8</f>
        <v>997349131</v>
      </c>
      <c r="E7" s="561"/>
      <c r="F7" s="561"/>
      <c r="G7" s="561"/>
      <c r="H7" s="561"/>
      <c r="I7" s="561"/>
      <c r="J7" s="561"/>
      <c r="K7" s="562"/>
      <c r="L7" s="562"/>
      <c r="M7" s="562"/>
      <c r="N7" s="563"/>
      <c r="O7" s="563"/>
      <c r="P7" s="563"/>
      <c r="Q7" s="563"/>
      <c r="R7" s="563"/>
      <c r="S7" s="563"/>
      <c r="T7" s="563"/>
      <c r="U7" s="563"/>
      <c r="V7" s="563"/>
      <c r="W7" s="563"/>
    </row>
    <row r="8" spans="2:23" ht="127.5" customHeight="1" thickBot="1">
      <c r="B8" s="695" t="s">
        <v>1158</v>
      </c>
      <c r="C8" s="802">
        <v>1016742417</v>
      </c>
      <c r="D8" s="802">
        <v>997349131</v>
      </c>
      <c r="E8" s="63" t="s">
        <v>242</v>
      </c>
      <c r="F8" s="63"/>
      <c r="G8" s="63" t="s">
        <v>1159</v>
      </c>
      <c r="H8" s="802">
        <v>950250013</v>
      </c>
      <c r="I8" s="63" t="s">
        <v>1160</v>
      </c>
      <c r="J8" s="63" t="s">
        <v>1161</v>
      </c>
      <c r="K8" s="565"/>
      <c r="L8" s="63"/>
      <c r="M8" s="63" t="s">
        <v>1162</v>
      </c>
      <c r="N8" s="80"/>
      <c r="O8" s="566" t="s">
        <v>1448</v>
      </c>
      <c r="P8" s="566" t="s">
        <v>1449</v>
      </c>
      <c r="Q8" s="566" t="s">
        <v>1450</v>
      </c>
      <c r="R8" s="566" t="s">
        <v>1451</v>
      </c>
      <c r="S8" s="803" t="s">
        <v>1452</v>
      </c>
      <c r="T8" s="564"/>
      <c r="U8" s="804" t="s">
        <v>1453</v>
      </c>
      <c r="V8" s="805" t="s">
        <v>1454</v>
      </c>
      <c r="W8" s="564" t="s">
        <v>2322</v>
      </c>
    </row>
    <row r="9" spans="2:23" ht="81.599999999999994" customHeight="1">
      <c r="B9" s="560" t="s">
        <v>1455</v>
      </c>
      <c r="C9" s="801">
        <f>+C10</f>
        <v>68628655</v>
      </c>
      <c r="D9" s="801">
        <f>+D10</f>
        <v>68608580</v>
      </c>
      <c r="E9" s="561"/>
      <c r="F9" s="561"/>
      <c r="G9" s="561"/>
      <c r="H9" s="561"/>
      <c r="I9" s="561"/>
      <c r="J9" s="561"/>
      <c r="K9" s="562"/>
      <c r="L9" s="562"/>
      <c r="M9" s="562"/>
      <c r="N9" s="563"/>
      <c r="O9" s="563"/>
      <c r="P9" s="563"/>
      <c r="Q9" s="563"/>
      <c r="R9" s="563"/>
      <c r="S9" s="563"/>
      <c r="T9" s="563"/>
      <c r="U9" s="563"/>
      <c r="V9" s="563"/>
      <c r="W9" s="563"/>
    </row>
    <row r="10" spans="2:23" ht="108.75" customHeight="1">
      <c r="B10" s="1498" t="s">
        <v>1456</v>
      </c>
      <c r="C10" s="1501">
        <v>68628655</v>
      </c>
      <c r="D10" s="1501">
        <v>68608580</v>
      </c>
      <c r="E10" s="1504" t="s">
        <v>242</v>
      </c>
      <c r="F10" s="63"/>
      <c r="G10" s="806" t="s">
        <v>1457</v>
      </c>
      <c r="H10" s="802">
        <v>35000000</v>
      </c>
      <c r="I10" s="63" t="s">
        <v>1190</v>
      </c>
      <c r="J10" s="63"/>
      <c r="K10" s="565"/>
      <c r="L10" s="63"/>
      <c r="M10" s="63"/>
      <c r="N10" s="80"/>
      <c r="O10" s="566"/>
      <c r="P10" s="566"/>
      <c r="Q10" s="566"/>
      <c r="R10" s="566"/>
      <c r="S10" s="803" t="s">
        <v>1458</v>
      </c>
      <c r="T10" s="803" t="s">
        <v>1459</v>
      </c>
      <c r="U10" s="1516" t="s">
        <v>1460</v>
      </c>
      <c r="V10" s="1495" t="s">
        <v>1454</v>
      </c>
      <c r="W10" s="803" t="s">
        <v>2322</v>
      </c>
    </row>
    <row r="11" spans="2:23" ht="108.75" customHeight="1">
      <c r="B11" s="1500"/>
      <c r="C11" s="1503"/>
      <c r="D11" s="1503"/>
      <c r="E11" s="1506"/>
      <c r="F11" s="63"/>
      <c r="G11" s="806" t="s">
        <v>1461</v>
      </c>
      <c r="H11" s="802">
        <v>40000000</v>
      </c>
      <c r="I11" s="63" t="s">
        <v>145</v>
      </c>
      <c r="J11" s="63"/>
      <c r="K11" s="565"/>
      <c r="L11" s="63"/>
      <c r="M11" s="63"/>
      <c r="N11" s="80"/>
      <c r="O11" s="566"/>
      <c r="P11" s="566"/>
      <c r="Q11" s="566"/>
      <c r="R11" s="807"/>
      <c r="S11" s="803" t="s">
        <v>1462</v>
      </c>
      <c r="T11" s="803" t="s">
        <v>1463</v>
      </c>
      <c r="U11" s="1517"/>
      <c r="V11" s="1497"/>
      <c r="W11" s="803" t="s">
        <v>2322</v>
      </c>
    </row>
    <row r="12" spans="2:23" ht="75.599999999999994" customHeight="1">
      <c r="B12" s="567" t="s">
        <v>216</v>
      </c>
      <c r="C12" s="808">
        <f>+SUM(C13:C22)</f>
        <v>3200683393</v>
      </c>
      <c r="D12" s="808">
        <f>+SUM(D13:D22)</f>
        <v>3186062121</v>
      </c>
      <c r="E12" s="568"/>
      <c r="F12" s="568"/>
      <c r="G12" s="568"/>
      <c r="H12" s="569"/>
      <c r="I12" s="568"/>
      <c r="J12" s="568"/>
      <c r="K12" s="570"/>
      <c r="L12" s="568"/>
      <c r="M12" s="568"/>
      <c r="N12" s="571"/>
      <c r="O12" s="571"/>
      <c r="P12" s="571"/>
      <c r="Q12" s="571"/>
      <c r="R12" s="571"/>
      <c r="S12" s="571"/>
      <c r="T12" s="571"/>
      <c r="U12" s="809"/>
      <c r="V12" s="571"/>
      <c r="W12" s="571"/>
    </row>
    <row r="13" spans="2:23" ht="105.75" customHeight="1">
      <c r="B13" s="1514" t="s">
        <v>1163</v>
      </c>
      <c r="C13" s="1515">
        <v>2035344748</v>
      </c>
      <c r="D13" s="1515">
        <v>2028735399</v>
      </c>
      <c r="E13" s="1510" t="s">
        <v>242</v>
      </c>
      <c r="F13" s="63"/>
      <c r="G13" s="63" t="s">
        <v>1164</v>
      </c>
      <c r="H13" s="802">
        <v>1799010000</v>
      </c>
      <c r="I13" s="63" t="s">
        <v>7</v>
      </c>
      <c r="J13" s="63" t="s">
        <v>11</v>
      </c>
      <c r="K13" s="63"/>
      <c r="L13" s="63"/>
      <c r="M13" s="63" t="s">
        <v>1162</v>
      </c>
      <c r="N13" s="80"/>
      <c r="O13" s="566" t="s">
        <v>1464</v>
      </c>
      <c r="P13" s="566" t="s">
        <v>1165</v>
      </c>
      <c r="Q13" s="566"/>
      <c r="R13" s="566" t="s">
        <v>1465</v>
      </c>
      <c r="S13" s="803" t="s">
        <v>1466</v>
      </c>
      <c r="T13" s="803" t="s">
        <v>1467</v>
      </c>
      <c r="U13" s="1516" t="s">
        <v>1468</v>
      </c>
      <c r="V13" s="1495" t="s">
        <v>1454</v>
      </c>
      <c r="W13" s="1495" t="s">
        <v>2322</v>
      </c>
    </row>
    <row r="14" spans="2:23" ht="42.75" customHeight="1">
      <c r="B14" s="1514"/>
      <c r="C14" s="1515"/>
      <c r="D14" s="1515"/>
      <c r="E14" s="1510"/>
      <c r="F14" s="63"/>
      <c r="G14" s="63" t="s">
        <v>1166</v>
      </c>
      <c r="H14" s="802">
        <v>0</v>
      </c>
      <c r="I14" s="63" t="s">
        <v>898</v>
      </c>
      <c r="J14" s="63" t="s">
        <v>1167</v>
      </c>
      <c r="K14" s="63"/>
      <c r="L14" s="63"/>
      <c r="M14" s="63" t="s">
        <v>898</v>
      </c>
      <c r="N14" s="80"/>
      <c r="O14" s="566"/>
      <c r="P14" s="566" t="s">
        <v>1168</v>
      </c>
      <c r="Q14" s="57"/>
      <c r="R14" s="1511" t="s">
        <v>1469</v>
      </c>
      <c r="S14" s="803"/>
      <c r="T14" s="1511" t="s">
        <v>1470</v>
      </c>
      <c r="U14" s="1518"/>
      <c r="V14" s="1496"/>
      <c r="W14" s="1496"/>
    </row>
    <row r="15" spans="2:23" ht="92.25" customHeight="1">
      <c r="B15" s="1514"/>
      <c r="C15" s="1515"/>
      <c r="D15" s="1515"/>
      <c r="E15" s="1510"/>
      <c r="F15" s="63"/>
      <c r="G15" s="63" t="s">
        <v>1169</v>
      </c>
      <c r="H15" s="802">
        <v>0</v>
      </c>
      <c r="I15" s="63" t="s">
        <v>11</v>
      </c>
      <c r="J15" s="63" t="s">
        <v>1170</v>
      </c>
      <c r="K15" s="63"/>
      <c r="L15" s="63"/>
      <c r="M15" s="63" t="s">
        <v>1171</v>
      </c>
      <c r="N15" s="80"/>
      <c r="O15" s="566"/>
      <c r="P15" s="566" t="s">
        <v>1172</v>
      </c>
      <c r="Q15" s="57"/>
      <c r="R15" s="1513"/>
      <c r="S15" s="803"/>
      <c r="T15" s="1513"/>
      <c r="U15" s="1518"/>
      <c r="V15" s="1496"/>
      <c r="W15" s="1496"/>
    </row>
    <row r="16" spans="2:23" ht="38.25">
      <c r="B16" s="1514"/>
      <c r="C16" s="1515"/>
      <c r="D16" s="1515"/>
      <c r="E16" s="696" t="s">
        <v>730</v>
      </c>
      <c r="F16" s="63"/>
      <c r="G16" s="63" t="s">
        <v>1173</v>
      </c>
      <c r="H16" s="802">
        <v>38000000</v>
      </c>
      <c r="I16" s="63" t="s">
        <v>1174</v>
      </c>
      <c r="J16" s="63"/>
      <c r="K16" s="63"/>
      <c r="L16" s="63"/>
      <c r="M16" s="63"/>
      <c r="N16" s="80"/>
      <c r="O16" s="566"/>
      <c r="P16" s="63" t="s">
        <v>1174</v>
      </c>
      <c r="Q16" s="57" t="s">
        <v>1471</v>
      </c>
      <c r="R16" s="810" t="s">
        <v>1472</v>
      </c>
      <c r="S16" s="564"/>
      <c r="T16" s="803" t="s">
        <v>1473</v>
      </c>
      <c r="U16" s="1518"/>
      <c r="V16" s="1496"/>
      <c r="W16" s="1496"/>
    </row>
    <row r="17" spans="2:24" ht="38.25">
      <c r="B17" s="1514"/>
      <c r="C17" s="1515"/>
      <c r="D17" s="1515"/>
      <c r="E17" s="696" t="s">
        <v>1175</v>
      </c>
      <c r="F17" s="63"/>
      <c r="G17" s="63" t="s">
        <v>1173</v>
      </c>
      <c r="H17" s="802">
        <v>42500000</v>
      </c>
      <c r="I17" s="63" t="s">
        <v>1176</v>
      </c>
      <c r="J17" s="63" t="s">
        <v>1177</v>
      </c>
      <c r="K17" s="63"/>
      <c r="L17" s="63"/>
      <c r="M17" s="63"/>
      <c r="N17" s="80"/>
      <c r="O17" s="566"/>
      <c r="P17" s="63" t="s">
        <v>1176</v>
      </c>
      <c r="Q17" s="57" t="s">
        <v>1474</v>
      </c>
      <c r="R17" s="811" t="s">
        <v>1475</v>
      </c>
      <c r="S17" s="564"/>
      <c r="T17" s="564" t="s">
        <v>1476</v>
      </c>
      <c r="U17" s="1518"/>
      <c r="V17" s="1496"/>
      <c r="W17" s="1496"/>
    </row>
    <row r="18" spans="2:24" ht="38.25">
      <c r="B18" s="1514"/>
      <c r="C18" s="1515"/>
      <c r="D18" s="1515"/>
      <c r="E18" s="696" t="s">
        <v>1178</v>
      </c>
      <c r="F18" s="63"/>
      <c r="G18" s="63" t="s">
        <v>1173</v>
      </c>
      <c r="H18" s="802">
        <v>64500000</v>
      </c>
      <c r="I18" s="63" t="s">
        <v>1176</v>
      </c>
      <c r="J18" s="63" t="s">
        <v>1179</v>
      </c>
      <c r="K18" s="63"/>
      <c r="L18" s="63"/>
      <c r="M18" s="63"/>
      <c r="N18" s="80"/>
      <c r="O18" s="566"/>
      <c r="P18" s="63" t="s">
        <v>1176</v>
      </c>
      <c r="Q18" s="57" t="s">
        <v>1474</v>
      </c>
      <c r="R18" s="811" t="s">
        <v>1477</v>
      </c>
      <c r="S18" s="564"/>
      <c r="T18" s="564" t="s">
        <v>1478</v>
      </c>
      <c r="U18" s="1518"/>
      <c r="V18" s="1496"/>
      <c r="W18" s="1496"/>
    </row>
    <row r="19" spans="2:24" ht="38.25">
      <c r="B19" s="1514"/>
      <c r="C19" s="1515"/>
      <c r="D19" s="1515"/>
      <c r="E19" s="696" t="s">
        <v>105</v>
      </c>
      <c r="F19" s="63"/>
      <c r="G19" s="63" t="s">
        <v>1173</v>
      </c>
      <c r="H19" s="802">
        <v>63000000</v>
      </c>
      <c r="I19" s="63" t="s">
        <v>853</v>
      </c>
      <c r="J19" s="63"/>
      <c r="K19" s="63"/>
      <c r="L19" s="63"/>
      <c r="M19" s="63"/>
      <c r="N19" s="80"/>
      <c r="O19" s="566"/>
      <c r="P19" s="63" t="s">
        <v>853</v>
      </c>
      <c r="Q19" s="57" t="s">
        <v>1474</v>
      </c>
      <c r="R19" s="811" t="s">
        <v>1479</v>
      </c>
      <c r="S19" s="564"/>
      <c r="T19" s="564" t="s">
        <v>1480</v>
      </c>
      <c r="U19" s="1518"/>
      <c r="V19" s="1496"/>
      <c r="W19" s="1496"/>
    </row>
    <row r="20" spans="2:24" ht="38.25">
      <c r="B20" s="1514"/>
      <c r="C20" s="1515"/>
      <c r="D20" s="1515"/>
      <c r="E20" s="696" t="s">
        <v>734</v>
      </c>
      <c r="F20" s="63"/>
      <c r="G20" s="63" t="s">
        <v>1173</v>
      </c>
      <c r="H20" s="802">
        <v>25000000</v>
      </c>
      <c r="I20" s="63" t="s">
        <v>1176</v>
      </c>
      <c r="J20" s="63" t="s">
        <v>1180</v>
      </c>
      <c r="K20" s="63"/>
      <c r="L20" s="63"/>
      <c r="M20" s="63"/>
      <c r="N20" s="80"/>
      <c r="O20" s="566"/>
      <c r="P20" s="63" t="s">
        <v>1176</v>
      </c>
      <c r="Q20" s="57" t="s">
        <v>1474</v>
      </c>
      <c r="R20" s="811" t="s">
        <v>1481</v>
      </c>
      <c r="S20" s="564"/>
      <c r="T20" s="803" t="s">
        <v>1482</v>
      </c>
      <c r="U20" s="1518"/>
      <c r="V20" s="1496"/>
      <c r="W20" s="1496"/>
    </row>
    <row r="21" spans="2:24" ht="38.25">
      <c r="B21" s="1514"/>
      <c r="C21" s="1515"/>
      <c r="D21" s="1515"/>
      <c r="E21" s="63" t="s">
        <v>735</v>
      </c>
      <c r="F21" s="566"/>
      <c r="G21" s="63" t="s">
        <v>1173</v>
      </c>
      <c r="H21" s="802">
        <v>28500000</v>
      </c>
      <c r="I21" s="63" t="s">
        <v>1174</v>
      </c>
      <c r="J21" s="63"/>
      <c r="K21" s="63"/>
      <c r="L21" s="63"/>
      <c r="M21" s="63"/>
      <c r="N21" s="80"/>
      <c r="O21" s="566"/>
      <c r="P21" s="63" t="s">
        <v>1174</v>
      </c>
      <c r="Q21" s="57" t="s">
        <v>1483</v>
      </c>
      <c r="R21" s="803" t="s">
        <v>1484</v>
      </c>
      <c r="S21" s="564"/>
      <c r="T21" s="564" t="s">
        <v>1485</v>
      </c>
      <c r="U21" s="1517"/>
      <c r="V21" s="1497"/>
      <c r="W21" s="1497"/>
    </row>
    <row r="22" spans="2:24" ht="102">
      <c r="B22" s="695" t="s">
        <v>1181</v>
      </c>
      <c r="C22" s="802">
        <v>1165338645</v>
      </c>
      <c r="D22" s="802">
        <v>1157326722</v>
      </c>
      <c r="E22" s="63" t="s">
        <v>242</v>
      </c>
      <c r="F22" s="63"/>
      <c r="G22" s="63" t="s">
        <v>1182</v>
      </c>
      <c r="H22" s="802">
        <v>1170000000</v>
      </c>
      <c r="I22" s="63" t="s">
        <v>1183</v>
      </c>
      <c r="J22" s="63" t="s">
        <v>1170</v>
      </c>
      <c r="K22" s="63"/>
      <c r="L22" s="63"/>
      <c r="M22" s="63" t="s">
        <v>1162</v>
      </c>
      <c r="N22" s="80"/>
      <c r="O22" s="566" t="s">
        <v>1486</v>
      </c>
      <c r="P22" s="566" t="s">
        <v>1184</v>
      </c>
      <c r="Q22" s="50"/>
      <c r="R22" s="803" t="s">
        <v>1487</v>
      </c>
      <c r="S22" s="803" t="s">
        <v>1488</v>
      </c>
      <c r="T22" s="803" t="s">
        <v>1489</v>
      </c>
      <c r="U22" s="812" t="s">
        <v>1490</v>
      </c>
      <c r="V22" s="803" t="s">
        <v>1454</v>
      </c>
      <c r="W22" s="803" t="s">
        <v>2322</v>
      </c>
      <c r="X22" s="48" t="s">
        <v>2321</v>
      </c>
    </row>
    <row r="23" spans="2:24" ht="31.15" customHeight="1">
      <c r="B23" s="567" t="s">
        <v>1185</v>
      </c>
      <c r="C23" s="808">
        <f>+C24</f>
        <v>12744920</v>
      </c>
      <c r="D23" s="808">
        <f>+D24</f>
        <v>12744920</v>
      </c>
      <c r="E23" s="568"/>
      <c r="F23" s="568"/>
      <c r="G23" s="572"/>
      <c r="H23" s="813"/>
      <c r="I23" s="568"/>
      <c r="J23" s="568"/>
      <c r="K23" s="573"/>
      <c r="L23" s="568"/>
      <c r="M23" s="568"/>
      <c r="N23" s="571"/>
      <c r="O23" s="571"/>
      <c r="P23" s="571"/>
      <c r="Q23" s="571"/>
      <c r="R23" s="571"/>
      <c r="S23" s="571"/>
      <c r="T23" s="571"/>
      <c r="U23" s="809"/>
      <c r="V23" s="571"/>
      <c r="W23" s="571"/>
    </row>
    <row r="24" spans="2:24" ht="48" customHeight="1">
      <c r="B24" s="1514" t="s">
        <v>1186</v>
      </c>
      <c r="C24" s="1515">
        <v>12744920</v>
      </c>
      <c r="D24" s="1515">
        <v>12744920</v>
      </c>
      <c r="E24" s="1510" t="s">
        <v>242</v>
      </c>
      <c r="F24" s="63"/>
      <c r="G24" s="696" t="s">
        <v>1187</v>
      </c>
      <c r="H24" s="1501">
        <v>12795899</v>
      </c>
      <c r="I24" s="63" t="s">
        <v>11</v>
      </c>
      <c r="J24" s="63" t="s">
        <v>898</v>
      </c>
      <c r="K24" s="63"/>
      <c r="L24" s="63"/>
      <c r="M24" s="63" t="s">
        <v>853</v>
      </c>
      <c r="N24" s="80"/>
      <c r="O24" s="63" t="s">
        <v>1491</v>
      </c>
      <c r="P24" s="63"/>
      <c r="Q24" s="50" t="s">
        <v>1492</v>
      </c>
      <c r="R24" s="564"/>
      <c r="S24" s="564"/>
      <c r="T24" s="1495" t="s">
        <v>1493</v>
      </c>
      <c r="U24" s="1495" t="s">
        <v>1494</v>
      </c>
      <c r="V24" s="1495" t="s">
        <v>1454</v>
      </c>
      <c r="W24" s="1495" t="s">
        <v>2322</v>
      </c>
    </row>
    <row r="25" spans="2:24" ht="48" customHeight="1">
      <c r="B25" s="1514"/>
      <c r="C25" s="1515"/>
      <c r="D25" s="1515"/>
      <c r="E25" s="1510"/>
      <c r="F25" s="63"/>
      <c r="G25" s="696" t="s">
        <v>1188</v>
      </c>
      <c r="H25" s="1502"/>
      <c r="I25" s="63" t="s">
        <v>885</v>
      </c>
      <c r="J25" s="63" t="s">
        <v>861</v>
      </c>
      <c r="K25" s="63"/>
      <c r="L25" s="63"/>
      <c r="M25" s="63" t="s">
        <v>68</v>
      </c>
      <c r="N25" s="80"/>
      <c r="O25" s="63" t="s">
        <v>1495</v>
      </c>
      <c r="P25" s="63"/>
      <c r="Q25" s="50"/>
      <c r="R25" s="564"/>
      <c r="S25" s="564"/>
      <c r="T25" s="1496"/>
      <c r="U25" s="1508"/>
      <c r="V25" s="1496"/>
      <c r="W25" s="1496"/>
    </row>
    <row r="26" spans="2:24" ht="47.45" customHeight="1">
      <c r="B26" s="1514"/>
      <c r="C26" s="1515"/>
      <c r="D26" s="1515"/>
      <c r="E26" s="1510"/>
      <c r="F26" s="63"/>
      <c r="G26" s="696" t="s">
        <v>1189</v>
      </c>
      <c r="H26" s="1502"/>
      <c r="I26" s="63" t="s">
        <v>1190</v>
      </c>
      <c r="J26" s="63" t="s">
        <v>145</v>
      </c>
      <c r="K26" s="63"/>
      <c r="L26" s="63"/>
      <c r="M26" s="63" t="s">
        <v>1191</v>
      </c>
      <c r="N26" s="80"/>
      <c r="O26" s="63" t="s">
        <v>1495</v>
      </c>
      <c r="P26" s="63"/>
      <c r="Q26" s="811" t="s">
        <v>1496</v>
      </c>
      <c r="R26" s="564"/>
      <c r="S26" s="564"/>
      <c r="T26" s="1496"/>
      <c r="U26" s="1508"/>
      <c r="V26" s="1496"/>
      <c r="W26" s="1496"/>
    </row>
    <row r="27" spans="2:24" ht="44.45" customHeight="1">
      <c r="B27" s="1514"/>
      <c r="C27" s="1515"/>
      <c r="D27" s="1515"/>
      <c r="E27" s="1510"/>
      <c r="F27" s="63"/>
      <c r="G27" s="696" t="s">
        <v>1193</v>
      </c>
      <c r="H27" s="1502"/>
      <c r="I27" s="63" t="s">
        <v>1191</v>
      </c>
      <c r="J27" s="63" t="s">
        <v>875</v>
      </c>
      <c r="K27" s="63"/>
      <c r="L27" s="63"/>
      <c r="M27" s="63" t="s">
        <v>875</v>
      </c>
      <c r="N27" s="80"/>
      <c r="O27" s="63" t="s">
        <v>1192</v>
      </c>
      <c r="P27" s="63"/>
      <c r="Q27" s="50"/>
      <c r="R27" s="564"/>
      <c r="S27" s="564"/>
      <c r="T27" s="1496"/>
      <c r="U27" s="1508"/>
      <c r="V27" s="1496"/>
      <c r="W27" s="1496"/>
    </row>
    <row r="28" spans="2:24" ht="37.5" customHeight="1">
      <c r="B28" s="1514"/>
      <c r="C28" s="1515"/>
      <c r="D28" s="1515"/>
      <c r="E28" s="1510"/>
      <c r="F28" s="63"/>
      <c r="G28" s="63" t="s">
        <v>1194</v>
      </c>
      <c r="H28" s="1503"/>
      <c r="I28" s="63" t="s">
        <v>68</v>
      </c>
      <c r="J28" s="63" t="s">
        <v>1190</v>
      </c>
      <c r="K28" s="63"/>
      <c r="L28" s="63"/>
      <c r="M28" s="63" t="s">
        <v>145</v>
      </c>
      <c r="N28" s="80"/>
      <c r="O28" s="63" t="s">
        <v>1195</v>
      </c>
      <c r="P28" s="63"/>
      <c r="Q28" s="811" t="s">
        <v>1496</v>
      </c>
      <c r="R28" s="564"/>
      <c r="S28" s="564"/>
      <c r="T28" s="1496"/>
      <c r="U28" s="1508"/>
      <c r="V28" s="1496"/>
      <c r="W28" s="1496"/>
    </row>
    <row r="29" spans="2:24" ht="55.15" customHeight="1">
      <c r="B29" s="1514"/>
      <c r="C29" s="1515"/>
      <c r="D29" s="1515"/>
      <c r="E29" s="1510"/>
      <c r="F29" s="63"/>
      <c r="G29" s="696" t="s">
        <v>1196</v>
      </c>
      <c r="H29" s="802">
        <v>0</v>
      </c>
      <c r="I29" s="63" t="s">
        <v>11</v>
      </c>
      <c r="J29" s="63" t="s">
        <v>898</v>
      </c>
      <c r="K29" s="63"/>
      <c r="L29" s="63"/>
      <c r="M29" s="63" t="s">
        <v>1197</v>
      </c>
      <c r="N29" s="80"/>
      <c r="O29" s="63"/>
      <c r="P29" s="63"/>
      <c r="Q29" s="50" t="s">
        <v>1497</v>
      </c>
      <c r="R29" s="564"/>
      <c r="S29" s="564"/>
      <c r="T29" s="803"/>
      <c r="U29" s="1509"/>
      <c r="V29" s="1497"/>
      <c r="W29" s="803"/>
    </row>
    <row r="30" spans="2:24" ht="22.15" customHeight="1">
      <c r="B30" s="567" t="s">
        <v>178</v>
      </c>
      <c r="C30" s="808">
        <f>+SUM(C31:C51)</f>
        <v>684200342</v>
      </c>
      <c r="D30" s="808">
        <f>+SUM(D31:D51)</f>
        <v>675710091</v>
      </c>
      <c r="E30" s="572"/>
      <c r="F30" s="568"/>
      <c r="G30" s="572"/>
      <c r="H30" s="813"/>
      <c r="I30" s="568"/>
      <c r="J30" s="568"/>
      <c r="K30" s="568"/>
      <c r="L30" s="568"/>
      <c r="M30" s="568"/>
      <c r="N30" s="571"/>
      <c r="O30" s="571"/>
      <c r="P30" s="571"/>
      <c r="Q30" s="571"/>
      <c r="R30" s="571"/>
      <c r="S30" s="571"/>
      <c r="T30" s="571"/>
      <c r="U30" s="809"/>
      <c r="V30" s="571"/>
      <c r="W30" s="571"/>
    </row>
    <row r="31" spans="2:24" ht="46.15" customHeight="1">
      <c r="B31" s="1514" t="s">
        <v>1198</v>
      </c>
      <c r="C31" s="1515">
        <v>1</v>
      </c>
      <c r="D31" s="1515">
        <v>0</v>
      </c>
      <c r="E31" s="1510" t="s">
        <v>242</v>
      </c>
      <c r="F31" s="63"/>
      <c r="G31" s="696" t="s">
        <v>1199</v>
      </c>
      <c r="H31" s="1501">
        <v>535000000</v>
      </c>
      <c r="I31" s="63" t="s">
        <v>11</v>
      </c>
      <c r="J31" s="63" t="s">
        <v>898</v>
      </c>
      <c r="K31" s="63"/>
      <c r="L31" s="63"/>
      <c r="M31" s="63" t="s">
        <v>885</v>
      </c>
      <c r="N31" s="80"/>
      <c r="O31" s="63"/>
      <c r="P31" s="63"/>
      <c r="Q31" s="1511" t="s">
        <v>1498</v>
      </c>
      <c r="R31" s="1495" t="s">
        <v>1499</v>
      </c>
      <c r="S31" s="564"/>
      <c r="T31" s="1495" t="s">
        <v>1499</v>
      </c>
      <c r="U31" s="1495" t="s">
        <v>1500</v>
      </c>
      <c r="V31" s="1495" t="s">
        <v>72</v>
      </c>
      <c r="W31" s="1495" t="s">
        <v>72</v>
      </c>
    </row>
    <row r="32" spans="2:24" ht="21" customHeight="1">
      <c r="B32" s="1514"/>
      <c r="C32" s="1515"/>
      <c r="D32" s="1515"/>
      <c r="E32" s="1510"/>
      <c r="F32" s="63"/>
      <c r="G32" s="696" t="s">
        <v>1200</v>
      </c>
      <c r="H32" s="1502"/>
      <c r="I32" s="63" t="s">
        <v>1201</v>
      </c>
      <c r="J32" s="63" t="s">
        <v>853</v>
      </c>
      <c r="K32" s="63"/>
      <c r="L32" s="63"/>
      <c r="M32" s="63" t="s">
        <v>68</v>
      </c>
      <c r="N32" s="80"/>
      <c r="O32" s="63"/>
      <c r="P32" s="63"/>
      <c r="Q32" s="1512"/>
      <c r="R32" s="1496"/>
      <c r="S32" s="564"/>
      <c r="T32" s="1496"/>
      <c r="U32" s="1496"/>
      <c r="V32" s="1496"/>
      <c r="W32" s="1496"/>
    </row>
    <row r="33" spans="2:23" ht="34.9" customHeight="1">
      <c r="B33" s="1514"/>
      <c r="C33" s="1515"/>
      <c r="D33" s="1515"/>
      <c r="E33" s="1510"/>
      <c r="F33" s="63"/>
      <c r="G33" s="696" t="s">
        <v>1202</v>
      </c>
      <c r="H33" s="1502"/>
      <c r="I33" s="63" t="s">
        <v>1201</v>
      </c>
      <c r="J33" s="63" t="s">
        <v>853</v>
      </c>
      <c r="K33" s="63"/>
      <c r="L33" s="63"/>
      <c r="M33" s="63" t="s">
        <v>885</v>
      </c>
      <c r="N33" s="80"/>
      <c r="O33" s="63"/>
      <c r="P33" s="63"/>
      <c r="Q33" s="1512"/>
      <c r="R33" s="1496"/>
      <c r="S33" s="564"/>
      <c r="T33" s="1496"/>
      <c r="U33" s="1496"/>
      <c r="V33" s="1496"/>
      <c r="W33" s="1496"/>
    </row>
    <row r="34" spans="2:23" ht="58.15" customHeight="1">
      <c r="B34" s="1514"/>
      <c r="C34" s="1515"/>
      <c r="D34" s="1515"/>
      <c r="E34" s="1510"/>
      <c r="F34" s="63"/>
      <c r="G34" s="63" t="s">
        <v>1203</v>
      </c>
      <c r="H34" s="1502"/>
      <c r="I34" s="63" t="s">
        <v>1201</v>
      </c>
      <c r="J34" s="63" t="s">
        <v>853</v>
      </c>
      <c r="K34" s="63"/>
      <c r="L34" s="63"/>
      <c r="M34" s="63" t="s">
        <v>68</v>
      </c>
      <c r="N34" s="80"/>
      <c r="O34" s="63"/>
      <c r="P34" s="63"/>
      <c r="Q34" s="1512"/>
      <c r="R34" s="1496"/>
      <c r="S34" s="564"/>
      <c r="T34" s="1496"/>
      <c r="U34" s="1496"/>
      <c r="V34" s="1496"/>
      <c r="W34" s="1496"/>
    </row>
    <row r="35" spans="2:23" ht="25.15" customHeight="1">
      <c r="B35" s="1514"/>
      <c r="C35" s="1515"/>
      <c r="D35" s="1515"/>
      <c r="E35" s="1510"/>
      <c r="F35" s="63"/>
      <c r="G35" s="63" t="s">
        <v>1204</v>
      </c>
      <c r="H35" s="1502"/>
      <c r="I35" s="63" t="s">
        <v>11</v>
      </c>
      <c r="J35" s="63" t="s">
        <v>898</v>
      </c>
      <c r="K35" s="63"/>
      <c r="L35" s="63"/>
      <c r="M35" s="63" t="s">
        <v>853</v>
      </c>
      <c r="N35" s="80"/>
      <c r="O35" s="63"/>
      <c r="P35" s="63"/>
      <c r="Q35" s="1512"/>
      <c r="R35" s="1496"/>
      <c r="S35" s="564"/>
      <c r="T35" s="1496"/>
      <c r="U35" s="1496"/>
      <c r="V35" s="1496"/>
      <c r="W35" s="1496"/>
    </row>
    <row r="36" spans="2:23" ht="48" customHeight="1">
      <c r="B36" s="1514"/>
      <c r="C36" s="1515"/>
      <c r="D36" s="1515"/>
      <c r="E36" s="1510"/>
      <c r="F36" s="63"/>
      <c r="G36" s="63" t="s">
        <v>1205</v>
      </c>
      <c r="H36" s="1502"/>
      <c r="I36" s="63" t="s">
        <v>861</v>
      </c>
      <c r="J36" s="63" t="s">
        <v>68</v>
      </c>
      <c r="K36" s="63"/>
      <c r="L36" s="63"/>
      <c r="M36" s="63" t="s">
        <v>1206</v>
      </c>
      <c r="N36" s="80"/>
      <c r="O36" s="63"/>
      <c r="P36" s="63"/>
      <c r="Q36" s="1512"/>
      <c r="R36" s="1496"/>
      <c r="S36" s="564"/>
      <c r="T36" s="1496"/>
      <c r="U36" s="1496"/>
      <c r="V36" s="1496"/>
      <c r="W36" s="1496"/>
    </row>
    <row r="37" spans="2:23" ht="38.450000000000003" customHeight="1">
      <c r="B37" s="1514"/>
      <c r="C37" s="1515"/>
      <c r="D37" s="1515"/>
      <c r="E37" s="1510"/>
      <c r="F37" s="63"/>
      <c r="G37" s="566" t="s">
        <v>1207</v>
      </c>
      <c r="H37" s="1503"/>
      <c r="I37" s="63" t="s">
        <v>898</v>
      </c>
      <c r="J37" s="63" t="s">
        <v>853</v>
      </c>
      <c r="K37" s="63"/>
      <c r="L37" s="63"/>
      <c r="M37" s="63" t="s">
        <v>885</v>
      </c>
      <c r="N37" s="80"/>
      <c r="O37" s="63"/>
      <c r="P37" s="63"/>
      <c r="Q37" s="1513"/>
      <c r="R37" s="1497"/>
      <c r="S37" s="564"/>
      <c r="T37" s="1497"/>
      <c r="U37" s="1497"/>
      <c r="V37" s="1497"/>
      <c r="W37" s="1497"/>
    </row>
    <row r="38" spans="2:23" ht="42" customHeight="1">
      <c r="B38" s="1498" t="s">
        <v>1208</v>
      </c>
      <c r="C38" s="1501">
        <v>635700287</v>
      </c>
      <c r="D38" s="1501">
        <v>627213178</v>
      </c>
      <c r="E38" s="1504" t="s">
        <v>242</v>
      </c>
      <c r="F38" s="63"/>
      <c r="G38" s="63" t="s">
        <v>1209</v>
      </c>
      <c r="H38" s="802">
        <v>175850341</v>
      </c>
      <c r="I38" s="63" t="s">
        <v>885</v>
      </c>
      <c r="J38" s="63" t="s">
        <v>861</v>
      </c>
      <c r="K38" s="63"/>
      <c r="L38" s="63"/>
      <c r="M38" s="63" t="s">
        <v>1190</v>
      </c>
      <c r="N38" s="80"/>
      <c r="O38" s="63" t="s">
        <v>1501</v>
      </c>
      <c r="P38" s="63"/>
      <c r="Q38" s="50" t="s">
        <v>1502</v>
      </c>
      <c r="R38" s="564" t="s">
        <v>1503</v>
      </c>
      <c r="S38" s="803" t="s">
        <v>1504</v>
      </c>
      <c r="T38" s="564" t="s">
        <v>1505</v>
      </c>
      <c r="U38" s="1495" t="s">
        <v>1506</v>
      </c>
      <c r="V38" s="1495" t="s">
        <v>1454</v>
      </c>
      <c r="W38" s="1507" t="s">
        <v>2322</v>
      </c>
    </row>
    <row r="39" spans="2:23" ht="63.75">
      <c r="B39" s="1499"/>
      <c r="C39" s="1502"/>
      <c r="D39" s="1502"/>
      <c r="E39" s="1505"/>
      <c r="F39" s="63"/>
      <c r="G39" s="63" t="s">
        <v>1210</v>
      </c>
      <c r="H39" s="802">
        <v>200000000</v>
      </c>
      <c r="I39" s="63" t="s">
        <v>861</v>
      </c>
      <c r="J39" s="63" t="s">
        <v>68</v>
      </c>
      <c r="K39" s="63"/>
      <c r="L39" s="63"/>
      <c r="M39" s="63" t="s">
        <v>1190</v>
      </c>
      <c r="N39" s="80"/>
      <c r="O39" s="63" t="s">
        <v>1507</v>
      </c>
      <c r="P39" s="63"/>
      <c r="Q39" s="50"/>
      <c r="R39" s="803" t="s">
        <v>1508</v>
      </c>
      <c r="S39" s="564"/>
      <c r="T39" s="564" t="s">
        <v>1509</v>
      </c>
      <c r="U39" s="1496"/>
      <c r="V39" s="1496"/>
      <c r="W39" s="1508"/>
    </row>
    <row r="40" spans="2:23" ht="31.15" customHeight="1">
      <c r="B40" s="1499"/>
      <c r="C40" s="1502"/>
      <c r="D40" s="1502"/>
      <c r="E40" s="1505"/>
      <c r="F40" s="63"/>
      <c r="G40" s="63" t="s">
        <v>1212</v>
      </c>
      <c r="H40" s="802">
        <v>0</v>
      </c>
      <c r="I40" s="63" t="s">
        <v>898</v>
      </c>
      <c r="J40" s="63" t="s">
        <v>853</v>
      </c>
      <c r="K40" s="63"/>
      <c r="L40" s="63"/>
      <c r="M40" s="63" t="s">
        <v>885</v>
      </c>
      <c r="N40" s="80"/>
      <c r="O40" s="63" t="s">
        <v>1211</v>
      </c>
      <c r="P40" s="63"/>
      <c r="Q40" s="811" t="s">
        <v>1510</v>
      </c>
      <c r="R40" s="564"/>
      <c r="S40" s="564"/>
      <c r="T40" s="564"/>
      <c r="U40" s="1496"/>
      <c r="V40" s="1496"/>
      <c r="W40" s="1508"/>
    </row>
    <row r="41" spans="2:23" ht="32.450000000000003" customHeight="1">
      <c r="B41" s="1499"/>
      <c r="C41" s="1502"/>
      <c r="D41" s="1502"/>
      <c r="E41" s="1505"/>
      <c r="F41" s="63"/>
      <c r="G41" s="63" t="s">
        <v>1213</v>
      </c>
      <c r="H41" s="802">
        <v>0</v>
      </c>
      <c r="I41" s="63" t="s">
        <v>861</v>
      </c>
      <c r="J41" s="63" t="s">
        <v>68</v>
      </c>
      <c r="K41" s="63"/>
      <c r="L41" s="63"/>
      <c r="M41" s="63"/>
      <c r="N41" s="80"/>
      <c r="O41" s="63" t="s">
        <v>1211</v>
      </c>
      <c r="P41" s="63"/>
      <c r="Q41" s="811" t="s">
        <v>1510</v>
      </c>
      <c r="R41" s="564"/>
      <c r="S41" s="564"/>
      <c r="T41" s="564"/>
      <c r="U41" s="1496"/>
      <c r="V41" s="1496"/>
      <c r="W41" s="1508"/>
    </row>
    <row r="42" spans="2:23" ht="33.6" customHeight="1">
      <c r="B42" s="1499"/>
      <c r="C42" s="1502"/>
      <c r="D42" s="1502"/>
      <c r="E42" s="1505"/>
      <c r="F42" s="63"/>
      <c r="G42" s="63" t="s">
        <v>1214</v>
      </c>
      <c r="H42" s="802">
        <v>0</v>
      </c>
      <c r="I42" s="63" t="s">
        <v>885</v>
      </c>
      <c r="J42" s="63" t="s">
        <v>861</v>
      </c>
      <c r="K42" s="63"/>
      <c r="L42" s="63"/>
      <c r="M42" s="63" t="s">
        <v>68</v>
      </c>
      <c r="N42" s="80"/>
      <c r="O42" s="63" t="s">
        <v>1211</v>
      </c>
      <c r="P42" s="63"/>
      <c r="Q42" s="811" t="s">
        <v>1510</v>
      </c>
      <c r="R42" s="564"/>
      <c r="S42" s="564"/>
      <c r="T42" s="564"/>
      <c r="U42" s="1496"/>
      <c r="V42" s="1496"/>
      <c r="W42" s="1508"/>
    </row>
    <row r="43" spans="2:23" ht="23.45" customHeight="1">
      <c r="B43" s="1499"/>
      <c r="C43" s="1502"/>
      <c r="D43" s="1502"/>
      <c r="E43" s="1505"/>
      <c r="F43" s="63"/>
      <c r="G43" s="63" t="s">
        <v>1215</v>
      </c>
      <c r="H43" s="802">
        <v>0</v>
      </c>
      <c r="I43" s="63" t="s">
        <v>68</v>
      </c>
      <c r="J43" s="63" t="s">
        <v>1190</v>
      </c>
      <c r="K43" s="63"/>
      <c r="L43" s="63"/>
      <c r="M43" s="63" t="s">
        <v>1191</v>
      </c>
      <c r="N43" s="80"/>
      <c r="O43" s="63" t="s">
        <v>1211</v>
      </c>
      <c r="P43" s="63"/>
      <c r="Q43" s="50"/>
      <c r="R43" s="564" t="s">
        <v>1511</v>
      </c>
      <c r="S43" s="564"/>
      <c r="T43" s="564"/>
      <c r="U43" s="1496"/>
      <c r="V43" s="1496"/>
      <c r="W43" s="1508"/>
    </row>
    <row r="44" spans="2:23" ht="38.25">
      <c r="B44" s="1499"/>
      <c r="C44" s="1502"/>
      <c r="D44" s="1502"/>
      <c r="E44" s="1505"/>
      <c r="F44" s="63"/>
      <c r="G44" s="63" t="s">
        <v>1512</v>
      </c>
      <c r="H44" s="802">
        <v>12551937</v>
      </c>
      <c r="I44" s="63" t="s">
        <v>853</v>
      </c>
      <c r="J44" s="63"/>
      <c r="K44" s="63"/>
      <c r="L44" s="63"/>
      <c r="M44" s="63"/>
      <c r="N44" s="80"/>
      <c r="O44" s="63"/>
      <c r="P44" s="63"/>
      <c r="Q44" s="50"/>
      <c r="R44" s="564"/>
      <c r="S44" s="564"/>
      <c r="T44" s="564" t="s">
        <v>1513</v>
      </c>
      <c r="U44" s="1496"/>
      <c r="V44" s="1496"/>
      <c r="W44" s="1508"/>
    </row>
    <row r="45" spans="2:23" ht="38.25">
      <c r="B45" s="1499"/>
      <c r="C45" s="1502"/>
      <c r="D45" s="1502"/>
      <c r="E45" s="1505"/>
      <c r="F45" s="63"/>
      <c r="G45" s="63" t="s">
        <v>1514</v>
      </c>
      <c r="H45" s="802">
        <v>33640000</v>
      </c>
      <c r="I45" s="63" t="s">
        <v>853</v>
      </c>
      <c r="J45" s="63"/>
      <c r="K45" s="63"/>
      <c r="L45" s="63"/>
      <c r="M45" s="63"/>
      <c r="N45" s="80"/>
      <c r="O45" s="63"/>
      <c r="P45" s="63"/>
      <c r="Q45" s="50"/>
      <c r="R45" s="564"/>
      <c r="S45" s="564"/>
      <c r="T45" s="564" t="s">
        <v>1513</v>
      </c>
      <c r="U45" s="1496"/>
      <c r="V45" s="1496"/>
      <c r="W45" s="1508"/>
    </row>
    <row r="46" spans="2:23" ht="38.25">
      <c r="B46" s="1499"/>
      <c r="C46" s="1502"/>
      <c r="D46" s="1502"/>
      <c r="E46" s="1505"/>
      <c r="F46" s="63"/>
      <c r="G46" s="63" t="s">
        <v>1515</v>
      </c>
      <c r="H46" s="802">
        <v>48294050</v>
      </c>
      <c r="I46" s="63" t="s">
        <v>1190</v>
      </c>
      <c r="J46" s="63"/>
      <c r="K46" s="63"/>
      <c r="L46" s="63"/>
      <c r="M46" s="63"/>
      <c r="N46" s="80"/>
      <c r="O46" s="63"/>
      <c r="P46" s="63"/>
      <c r="Q46" s="50"/>
      <c r="R46" s="564"/>
      <c r="S46" s="564"/>
      <c r="T46" s="564" t="s">
        <v>1516</v>
      </c>
      <c r="U46" s="1496"/>
      <c r="V46" s="1496"/>
      <c r="W46" s="1508"/>
    </row>
    <row r="47" spans="2:23" ht="38.25">
      <c r="B47" s="1499"/>
      <c r="C47" s="1502"/>
      <c r="D47" s="1502"/>
      <c r="E47" s="1505"/>
      <c r="F47" s="63"/>
      <c r="G47" s="63" t="s">
        <v>1517</v>
      </c>
      <c r="H47" s="802">
        <v>8352000</v>
      </c>
      <c r="I47" s="63" t="s">
        <v>1191</v>
      </c>
      <c r="J47" s="63"/>
      <c r="K47" s="63"/>
      <c r="L47" s="63"/>
      <c r="M47" s="63"/>
      <c r="N47" s="80"/>
      <c r="O47" s="63"/>
      <c r="P47" s="63"/>
      <c r="Q47" s="50"/>
      <c r="R47" s="564"/>
      <c r="S47" s="564"/>
      <c r="T47" s="564" t="s">
        <v>1518</v>
      </c>
      <c r="U47" s="1496"/>
      <c r="V47" s="1496"/>
      <c r="W47" s="1508"/>
    </row>
    <row r="48" spans="2:23" ht="38.25">
      <c r="B48" s="1499"/>
      <c r="C48" s="1502"/>
      <c r="D48" s="1502"/>
      <c r="E48" s="1505"/>
      <c r="F48" s="63"/>
      <c r="G48" s="63" t="s">
        <v>1519</v>
      </c>
      <c r="H48" s="802">
        <v>69873760</v>
      </c>
      <c r="I48" s="63" t="s">
        <v>1191</v>
      </c>
      <c r="J48" s="63"/>
      <c r="K48" s="63"/>
      <c r="L48" s="63"/>
      <c r="M48" s="63"/>
      <c r="N48" s="80"/>
      <c r="O48" s="63"/>
      <c r="P48" s="63"/>
      <c r="Q48" s="50"/>
      <c r="R48" s="564"/>
      <c r="S48" s="564"/>
      <c r="T48" s="564" t="s">
        <v>1518</v>
      </c>
      <c r="U48" s="1496"/>
      <c r="V48" s="1496"/>
      <c r="W48" s="1508"/>
    </row>
    <row r="49" spans="2:23" ht="38.25">
      <c r="B49" s="1500"/>
      <c r="C49" s="1503"/>
      <c r="D49" s="1503"/>
      <c r="E49" s="1506"/>
      <c r="F49" s="63"/>
      <c r="G49" s="63" t="s">
        <v>1520</v>
      </c>
      <c r="H49" s="802">
        <v>69542000</v>
      </c>
      <c r="I49" s="63" t="s">
        <v>145</v>
      </c>
      <c r="J49" s="63"/>
      <c r="K49" s="63"/>
      <c r="L49" s="63"/>
      <c r="M49" s="63"/>
      <c r="N49" s="80"/>
      <c r="O49" s="63"/>
      <c r="P49" s="63"/>
      <c r="Q49" s="50"/>
      <c r="R49" s="564"/>
      <c r="S49" s="564"/>
      <c r="T49" s="564" t="s">
        <v>1518</v>
      </c>
      <c r="U49" s="1497"/>
      <c r="V49" s="1497"/>
      <c r="W49" s="1509"/>
    </row>
    <row r="50" spans="2:23" ht="53.25" customHeight="1">
      <c r="B50" s="695" t="s">
        <v>1216</v>
      </c>
      <c r="C50" s="814">
        <v>38300851</v>
      </c>
      <c r="D50" s="814">
        <v>38297913</v>
      </c>
      <c r="E50" s="63" t="s">
        <v>242</v>
      </c>
      <c r="F50" s="63"/>
      <c r="G50" s="44"/>
      <c r="H50" s="802">
        <v>50000000</v>
      </c>
      <c r="I50" s="63" t="s">
        <v>1217</v>
      </c>
      <c r="J50" s="63"/>
      <c r="K50" s="63"/>
      <c r="L50" s="63"/>
      <c r="M50" s="63" t="s">
        <v>1217</v>
      </c>
      <c r="N50" s="80"/>
      <c r="O50" s="63" t="s">
        <v>1521</v>
      </c>
      <c r="P50" s="63"/>
      <c r="Q50" s="50"/>
      <c r="R50" s="564"/>
      <c r="S50" s="564"/>
      <c r="T50" s="564"/>
      <c r="U50" s="812" t="s">
        <v>1522</v>
      </c>
      <c r="V50" s="812" t="s">
        <v>1454</v>
      </c>
      <c r="W50" s="564" t="s">
        <v>2322</v>
      </c>
    </row>
    <row r="51" spans="2:23" ht="49.15" customHeight="1" thickBot="1">
      <c r="B51" s="574" t="s">
        <v>1218</v>
      </c>
      <c r="C51" s="815">
        <v>10199203</v>
      </c>
      <c r="D51" s="815">
        <v>10199000</v>
      </c>
      <c r="E51" s="575" t="s">
        <v>242</v>
      </c>
      <c r="F51" s="576"/>
      <c r="G51" s="575" t="s">
        <v>1218</v>
      </c>
      <c r="H51" s="816">
        <v>10240000</v>
      </c>
      <c r="I51" s="576" t="s">
        <v>841</v>
      </c>
      <c r="J51" s="576" t="s">
        <v>889</v>
      </c>
      <c r="K51" s="576"/>
      <c r="L51" s="576"/>
      <c r="M51" s="576" t="s">
        <v>1191</v>
      </c>
      <c r="N51" s="577"/>
      <c r="O51" s="63"/>
      <c r="P51" s="63"/>
      <c r="Q51" s="50"/>
      <c r="R51" s="564"/>
      <c r="S51" s="564"/>
      <c r="T51" s="564" t="s">
        <v>1523</v>
      </c>
      <c r="U51" s="812" t="s">
        <v>1524</v>
      </c>
      <c r="V51" s="812" t="s">
        <v>1454</v>
      </c>
      <c r="W51" s="564" t="s">
        <v>2322</v>
      </c>
    </row>
    <row r="52" spans="2:23">
      <c r="B52" s="817" t="s">
        <v>1525</v>
      </c>
      <c r="C52" s="818">
        <v>18900273</v>
      </c>
      <c r="D52" s="818">
        <v>14217</v>
      </c>
      <c r="E52" s="578"/>
      <c r="F52" s="579"/>
      <c r="G52" s="580"/>
      <c r="H52" s="818"/>
      <c r="I52" s="579"/>
      <c r="J52" s="579"/>
      <c r="K52" s="579"/>
      <c r="L52" s="579"/>
      <c r="M52" s="579"/>
      <c r="N52" s="579"/>
      <c r="O52" s="50"/>
      <c r="P52" s="50"/>
      <c r="Q52" s="50"/>
    </row>
    <row r="53" spans="2:23" s="581" customFormat="1" ht="28.9" customHeight="1">
      <c r="B53" s="582"/>
      <c r="C53" s="819">
        <f>+C7+C9+C12+C23+C30+C52</f>
        <v>5001900000</v>
      </c>
      <c r="D53" s="819">
        <f>+D7+D9+D12+D23+D30+D52</f>
        <v>4940489060</v>
      </c>
      <c r="E53" s="583"/>
      <c r="F53" s="584"/>
      <c r="G53" s="585"/>
      <c r="H53" s="819">
        <f>+SUM(H7:H51)</f>
        <v>5481900000</v>
      </c>
      <c r="I53" s="584"/>
      <c r="J53" s="584"/>
      <c r="K53" s="584"/>
      <c r="L53" s="584"/>
      <c r="M53" s="584"/>
      <c r="N53" s="584"/>
      <c r="U53" s="820"/>
    </row>
    <row r="55" spans="2:23">
      <c r="B55" s="587"/>
      <c r="D55" s="821"/>
    </row>
    <row r="56" spans="2:23">
      <c r="D56" s="822"/>
    </row>
    <row r="58" spans="2:23">
      <c r="C58" s="588"/>
      <c r="D58" s="588"/>
      <c r="E58" s="588"/>
      <c r="F58" s="588"/>
      <c r="G58" s="588"/>
      <c r="H58" s="588"/>
    </row>
    <row r="59" spans="2:23">
      <c r="E59" s="579"/>
      <c r="F59" s="579"/>
      <c r="G59" s="579"/>
      <c r="H59" s="579"/>
    </row>
    <row r="60" spans="2:23">
      <c r="H60" s="822"/>
    </row>
    <row r="61" spans="2:23">
      <c r="H61" s="589"/>
    </row>
    <row r="62" spans="2:23">
      <c r="H62" s="822"/>
    </row>
  </sheetData>
  <mergeCells count="69">
    <mergeCell ref="C31:C37"/>
    <mergeCell ref="D31:D37"/>
    <mergeCell ref="G4:G6"/>
    <mergeCell ref="H4:H6"/>
    <mergeCell ref="I4:I6"/>
    <mergeCell ref="B2:C2"/>
    <mergeCell ref="B4:B6"/>
    <mergeCell ref="C4:C6"/>
    <mergeCell ref="D4:D6"/>
    <mergeCell ref="E2:T2"/>
    <mergeCell ref="K3:Q3"/>
    <mergeCell ref="E4:E6"/>
    <mergeCell ref="F4:F5"/>
    <mergeCell ref="J4:J6"/>
    <mergeCell ref="K4:N4"/>
    <mergeCell ref="O4:Q4"/>
    <mergeCell ref="R4:T4"/>
    <mergeCell ref="U4:W4"/>
    <mergeCell ref="K5:L5"/>
    <mergeCell ref="M5:N5"/>
    <mergeCell ref="T5:T6"/>
    <mergeCell ref="U5:U6"/>
    <mergeCell ref="V5:V6"/>
    <mergeCell ref="W5:W6"/>
    <mergeCell ref="Q5:Q6"/>
    <mergeCell ref="R5:R6"/>
    <mergeCell ref="S5:S6"/>
    <mergeCell ref="P5:P6"/>
    <mergeCell ref="O5:O6"/>
    <mergeCell ref="U10:U11"/>
    <mergeCell ref="V10:V11"/>
    <mergeCell ref="B13:B21"/>
    <mergeCell ref="C13:C21"/>
    <mergeCell ref="D13:D21"/>
    <mergeCell ref="E13:E15"/>
    <mergeCell ref="U13:U21"/>
    <mergeCell ref="V13:V21"/>
    <mergeCell ref="B10:B11"/>
    <mergeCell ref="C10:C11"/>
    <mergeCell ref="D10:D11"/>
    <mergeCell ref="E10:E11"/>
    <mergeCell ref="W13:W21"/>
    <mergeCell ref="R14:R15"/>
    <mergeCell ref="T14:T15"/>
    <mergeCell ref="B24:B29"/>
    <mergeCell ref="C24:C29"/>
    <mergeCell ref="D24:D29"/>
    <mergeCell ref="E24:E29"/>
    <mergeCell ref="H24:H28"/>
    <mergeCell ref="T24:T28"/>
    <mergeCell ref="U24:U29"/>
    <mergeCell ref="V24:V29"/>
    <mergeCell ref="W24:W28"/>
    <mergeCell ref="U31:U37"/>
    <mergeCell ref="V31:V37"/>
    <mergeCell ref="W31:W37"/>
    <mergeCell ref="B38:B49"/>
    <mergeCell ref="C38:C49"/>
    <mergeCell ref="D38:D49"/>
    <mergeCell ref="E38:E49"/>
    <mergeCell ref="U38:U49"/>
    <mergeCell ref="V38:V49"/>
    <mergeCell ref="W38:W49"/>
    <mergeCell ref="E31:E37"/>
    <mergeCell ref="H31:H37"/>
    <mergeCell ref="Q31:Q37"/>
    <mergeCell ref="R31:R37"/>
    <mergeCell ref="T31:T37"/>
    <mergeCell ref="B31:B3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R36"/>
  <sheetViews>
    <sheetView zoomScale="90" zoomScaleNormal="90" workbookViewId="0">
      <pane xSplit="4" ySplit="6" topLeftCell="M7" activePane="bottomRight" state="frozen"/>
      <selection activeCell="Q9" sqref="Q9"/>
      <selection pane="topRight" activeCell="Q9" sqref="Q9"/>
      <selection pane="bottomLeft" activeCell="Q9" sqref="Q9"/>
      <selection pane="bottomRight" activeCell="R12" sqref="R12"/>
    </sheetView>
  </sheetViews>
  <sheetFormatPr baseColWidth="10" defaultRowHeight="11.25"/>
  <cols>
    <col min="1" max="1" width="11.42578125" style="17"/>
    <col min="2" max="2" width="32.85546875" style="101" customWidth="1"/>
    <col min="3" max="3" width="19.85546875" style="101" customWidth="1"/>
    <col min="4" max="4" width="25.7109375" style="101" bestFit="1" customWidth="1"/>
    <col min="5" max="5" width="20.85546875" style="101" customWidth="1"/>
    <col min="6" max="6" width="20.7109375" style="101" customWidth="1"/>
    <col min="7" max="7" width="15.85546875" style="101" customWidth="1"/>
    <col min="8" max="8" width="23" style="101" customWidth="1"/>
    <col min="9" max="14" width="17.28515625" style="17" customWidth="1"/>
    <col min="15" max="16" width="11.42578125" style="17"/>
    <col min="17" max="17" width="22.42578125" style="1092" customWidth="1"/>
    <col min="18" max="18" width="49.28515625" style="17" customWidth="1"/>
    <col min="19" max="251" width="11.42578125" style="17"/>
    <col min="252" max="252" width="44.5703125" style="17" customWidth="1"/>
    <col min="253" max="253" width="28.42578125" style="17" customWidth="1"/>
    <col min="254" max="254" width="27" style="17" customWidth="1"/>
    <col min="255" max="255" width="20.42578125" style="17" customWidth="1"/>
    <col min="256" max="257" width="19" style="17" customWidth="1"/>
    <col min="258" max="258" width="12.42578125" style="17" customWidth="1"/>
    <col min="259" max="260" width="9.7109375" style="17" customWidth="1"/>
    <col min="261" max="261" width="10.140625" style="17" customWidth="1"/>
    <col min="262" max="262" width="24.140625" style="17" customWidth="1"/>
    <col min="263" max="263" width="35.140625" style="17" customWidth="1"/>
    <col min="264" max="507" width="11.42578125" style="17"/>
    <col min="508" max="508" width="44.5703125" style="17" customWidth="1"/>
    <col min="509" max="509" width="28.42578125" style="17" customWidth="1"/>
    <col min="510" max="510" width="27" style="17" customWidth="1"/>
    <col min="511" max="511" width="20.42578125" style="17" customWidth="1"/>
    <col min="512" max="513" width="19" style="17" customWidth="1"/>
    <col min="514" max="514" width="12.42578125" style="17" customWidth="1"/>
    <col min="515" max="516" width="9.7109375" style="17" customWidth="1"/>
    <col min="517" max="517" width="10.140625" style="17" customWidth="1"/>
    <col min="518" max="518" width="24.140625" style="17" customWidth="1"/>
    <col min="519" max="519" width="35.140625" style="17" customWidth="1"/>
    <col min="520" max="763" width="11.42578125" style="17"/>
    <col min="764" max="764" width="44.5703125" style="17" customWidth="1"/>
    <col min="765" max="765" width="28.42578125" style="17" customWidth="1"/>
    <col min="766" max="766" width="27" style="17" customWidth="1"/>
    <col min="767" max="767" width="20.42578125" style="17" customWidth="1"/>
    <col min="768" max="769" width="19" style="17" customWidth="1"/>
    <col min="770" max="770" width="12.42578125" style="17" customWidth="1"/>
    <col min="771" max="772" width="9.7109375" style="17" customWidth="1"/>
    <col min="773" max="773" width="10.140625" style="17" customWidth="1"/>
    <col min="774" max="774" width="24.140625" style="17" customWidth="1"/>
    <col min="775" max="775" width="35.140625" style="17" customWidth="1"/>
    <col min="776" max="1019" width="11.42578125" style="17"/>
    <col min="1020" max="1020" width="44.5703125" style="17" customWidth="1"/>
    <col min="1021" max="1021" width="28.42578125" style="17" customWidth="1"/>
    <col min="1022" max="1022" width="27" style="17" customWidth="1"/>
    <col min="1023" max="1023" width="20.42578125" style="17" customWidth="1"/>
    <col min="1024" max="1025" width="19" style="17" customWidth="1"/>
    <col min="1026" max="1026" width="12.42578125" style="17" customWidth="1"/>
    <col min="1027" max="1028" width="9.7109375" style="17" customWidth="1"/>
    <col min="1029" max="1029" width="10.140625" style="17" customWidth="1"/>
    <col min="1030" max="1030" width="24.140625" style="17" customWidth="1"/>
    <col min="1031" max="1031" width="35.140625" style="17" customWidth="1"/>
    <col min="1032" max="1275" width="11.42578125" style="17"/>
    <col min="1276" max="1276" width="44.5703125" style="17" customWidth="1"/>
    <col min="1277" max="1277" width="28.42578125" style="17" customWidth="1"/>
    <col min="1278" max="1278" width="27" style="17" customWidth="1"/>
    <col min="1279" max="1279" width="20.42578125" style="17" customWidth="1"/>
    <col min="1280" max="1281" width="19" style="17" customWidth="1"/>
    <col min="1282" max="1282" width="12.42578125" style="17" customWidth="1"/>
    <col min="1283" max="1284" width="9.7109375" style="17" customWidth="1"/>
    <col min="1285" max="1285" width="10.140625" style="17" customWidth="1"/>
    <col min="1286" max="1286" width="24.140625" style="17" customWidth="1"/>
    <col min="1287" max="1287" width="35.140625" style="17" customWidth="1"/>
    <col min="1288" max="1531" width="11.42578125" style="17"/>
    <col min="1532" max="1532" width="44.5703125" style="17" customWidth="1"/>
    <col min="1533" max="1533" width="28.42578125" style="17" customWidth="1"/>
    <col min="1534" max="1534" width="27" style="17" customWidth="1"/>
    <col min="1535" max="1535" width="20.42578125" style="17" customWidth="1"/>
    <col min="1536" max="1537" width="19" style="17" customWidth="1"/>
    <col min="1538" max="1538" width="12.42578125" style="17" customWidth="1"/>
    <col min="1539" max="1540" width="9.7109375" style="17" customWidth="1"/>
    <col min="1541" max="1541" width="10.140625" style="17" customWidth="1"/>
    <col min="1542" max="1542" width="24.140625" style="17" customWidth="1"/>
    <col min="1543" max="1543" width="35.140625" style="17" customWidth="1"/>
    <col min="1544" max="1787" width="11.42578125" style="17"/>
    <col min="1788" max="1788" width="44.5703125" style="17" customWidth="1"/>
    <col min="1789" max="1789" width="28.42578125" style="17" customWidth="1"/>
    <col min="1790" max="1790" width="27" style="17" customWidth="1"/>
    <col min="1791" max="1791" width="20.42578125" style="17" customWidth="1"/>
    <col min="1792" max="1793" width="19" style="17" customWidth="1"/>
    <col min="1794" max="1794" width="12.42578125" style="17" customWidth="1"/>
    <col min="1795" max="1796" width="9.7109375" style="17" customWidth="1"/>
    <col min="1797" max="1797" width="10.140625" style="17" customWidth="1"/>
    <col min="1798" max="1798" width="24.140625" style="17" customWidth="1"/>
    <col min="1799" max="1799" width="35.140625" style="17" customWidth="1"/>
    <col min="1800" max="2043" width="11.42578125" style="17"/>
    <col min="2044" max="2044" width="44.5703125" style="17" customWidth="1"/>
    <col min="2045" max="2045" width="28.42578125" style="17" customWidth="1"/>
    <col min="2046" max="2046" width="27" style="17" customWidth="1"/>
    <col min="2047" max="2047" width="20.42578125" style="17" customWidth="1"/>
    <col min="2048" max="2049" width="19" style="17" customWidth="1"/>
    <col min="2050" max="2050" width="12.42578125" style="17" customWidth="1"/>
    <col min="2051" max="2052" width="9.7109375" style="17" customWidth="1"/>
    <col min="2053" max="2053" width="10.140625" style="17" customWidth="1"/>
    <col min="2054" max="2054" width="24.140625" style="17" customWidth="1"/>
    <col min="2055" max="2055" width="35.140625" style="17" customWidth="1"/>
    <col min="2056" max="2299" width="11.42578125" style="17"/>
    <col min="2300" max="2300" width="44.5703125" style="17" customWidth="1"/>
    <col min="2301" max="2301" width="28.42578125" style="17" customWidth="1"/>
    <col min="2302" max="2302" width="27" style="17" customWidth="1"/>
    <col min="2303" max="2303" width="20.42578125" style="17" customWidth="1"/>
    <col min="2304" max="2305" width="19" style="17" customWidth="1"/>
    <col min="2306" max="2306" width="12.42578125" style="17" customWidth="1"/>
    <col min="2307" max="2308" width="9.7109375" style="17" customWidth="1"/>
    <col min="2309" max="2309" width="10.140625" style="17" customWidth="1"/>
    <col min="2310" max="2310" width="24.140625" style="17" customWidth="1"/>
    <col min="2311" max="2311" width="35.140625" style="17" customWidth="1"/>
    <col min="2312" max="2555" width="11.42578125" style="17"/>
    <col min="2556" max="2556" width="44.5703125" style="17" customWidth="1"/>
    <col min="2557" max="2557" width="28.42578125" style="17" customWidth="1"/>
    <col min="2558" max="2558" width="27" style="17" customWidth="1"/>
    <col min="2559" max="2559" width="20.42578125" style="17" customWidth="1"/>
    <col min="2560" max="2561" width="19" style="17" customWidth="1"/>
    <col min="2562" max="2562" width="12.42578125" style="17" customWidth="1"/>
    <col min="2563" max="2564" width="9.7109375" style="17" customWidth="1"/>
    <col min="2565" max="2565" width="10.140625" style="17" customWidth="1"/>
    <col min="2566" max="2566" width="24.140625" style="17" customWidth="1"/>
    <col min="2567" max="2567" width="35.140625" style="17" customWidth="1"/>
    <col min="2568" max="2811" width="11.42578125" style="17"/>
    <col min="2812" max="2812" width="44.5703125" style="17" customWidth="1"/>
    <col min="2813" max="2813" width="28.42578125" style="17" customWidth="1"/>
    <col min="2814" max="2814" width="27" style="17" customWidth="1"/>
    <col min="2815" max="2815" width="20.42578125" style="17" customWidth="1"/>
    <col min="2816" max="2817" width="19" style="17" customWidth="1"/>
    <col min="2818" max="2818" width="12.42578125" style="17" customWidth="1"/>
    <col min="2819" max="2820" width="9.7109375" style="17" customWidth="1"/>
    <col min="2821" max="2821" width="10.140625" style="17" customWidth="1"/>
    <col min="2822" max="2822" width="24.140625" style="17" customWidth="1"/>
    <col min="2823" max="2823" width="35.140625" style="17" customWidth="1"/>
    <col min="2824" max="3067" width="11.42578125" style="17"/>
    <col min="3068" max="3068" width="44.5703125" style="17" customWidth="1"/>
    <col min="3069" max="3069" width="28.42578125" style="17" customWidth="1"/>
    <col min="3070" max="3070" width="27" style="17" customWidth="1"/>
    <col min="3071" max="3071" width="20.42578125" style="17" customWidth="1"/>
    <col min="3072" max="3073" width="19" style="17" customWidth="1"/>
    <col min="3074" max="3074" width="12.42578125" style="17" customWidth="1"/>
    <col min="3075" max="3076" width="9.7109375" style="17" customWidth="1"/>
    <col min="3077" max="3077" width="10.140625" style="17" customWidth="1"/>
    <col min="3078" max="3078" width="24.140625" style="17" customWidth="1"/>
    <col min="3079" max="3079" width="35.140625" style="17" customWidth="1"/>
    <col min="3080" max="3323" width="11.42578125" style="17"/>
    <col min="3324" max="3324" width="44.5703125" style="17" customWidth="1"/>
    <col min="3325" max="3325" width="28.42578125" style="17" customWidth="1"/>
    <col min="3326" max="3326" width="27" style="17" customWidth="1"/>
    <col min="3327" max="3327" width="20.42578125" style="17" customWidth="1"/>
    <col min="3328" max="3329" width="19" style="17" customWidth="1"/>
    <col min="3330" max="3330" width="12.42578125" style="17" customWidth="1"/>
    <col min="3331" max="3332" width="9.7109375" style="17" customWidth="1"/>
    <col min="3333" max="3333" width="10.140625" style="17" customWidth="1"/>
    <col min="3334" max="3334" width="24.140625" style="17" customWidth="1"/>
    <col min="3335" max="3335" width="35.140625" style="17" customWidth="1"/>
    <col min="3336" max="3579" width="11.42578125" style="17"/>
    <col min="3580" max="3580" width="44.5703125" style="17" customWidth="1"/>
    <col min="3581" max="3581" width="28.42578125" style="17" customWidth="1"/>
    <col min="3582" max="3582" width="27" style="17" customWidth="1"/>
    <col min="3583" max="3583" width="20.42578125" style="17" customWidth="1"/>
    <col min="3584" max="3585" width="19" style="17" customWidth="1"/>
    <col min="3586" max="3586" width="12.42578125" style="17" customWidth="1"/>
    <col min="3587" max="3588" width="9.7109375" style="17" customWidth="1"/>
    <col min="3589" max="3589" width="10.140625" style="17" customWidth="1"/>
    <col min="3590" max="3590" width="24.140625" style="17" customWidth="1"/>
    <col min="3591" max="3591" width="35.140625" style="17" customWidth="1"/>
    <col min="3592" max="3835" width="11.42578125" style="17"/>
    <col min="3836" max="3836" width="44.5703125" style="17" customWidth="1"/>
    <col min="3837" max="3837" width="28.42578125" style="17" customWidth="1"/>
    <col min="3838" max="3838" width="27" style="17" customWidth="1"/>
    <col min="3839" max="3839" width="20.42578125" style="17" customWidth="1"/>
    <col min="3840" max="3841" width="19" style="17" customWidth="1"/>
    <col min="3842" max="3842" width="12.42578125" style="17" customWidth="1"/>
    <col min="3843" max="3844" width="9.7109375" style="17" customWidth="1"/>
    <col min="3845" max="3845" width="10.140625" style="17" customWidth="1"/>
    <col min="3846" max="3846" width="24.140625" style="17" customWidth="1"/>
    <col min="3847" max="3847" width="35.140625" style="17" customWidth="1"/>
    <col min="3848" max="4091" width="11.42578125" style="17"/>
    <col min="4092" max="4092" width="44.5703125" style="17" customWidth="1"/>
    <col min="4093" max="4093" width="28.42578125" style="17" customWidth="1"/>
    <col min="4094" max="4094" width="27" style="17" customWidth="1"/>
    <col min="4095" max="4095" width="20.42578125" style="17" customWidth="1"/>
    <col min="4096" max="4097" width="19" style="17" customWidth="1"/>
    <col min="4098" max="4098" width="12.42578125" style="17" customWidth="1"/>
    <col min="4099" max="4100" width="9.7109375" style="17" customWidth="1"/>
    <col min="4101" max="4101" width="10.140625" style="17" customWidth="1"/>
    <col min="4102" max="4102" width="24.140625" style="17" customWidth="1"/>
    <col min="4103" max="4103" width="35.140625" style="17" customWidth="1"/>
    <col min="4104" max="4347" width="11.42578125" style="17"/>
    <col min="4348" max="4348" width="44.5703125" style="17" customWidth="1"/>
    <col min="4349" max="4349" width="28.42578125" style="17" customWidth="1"/>
    <col min="4350" max="4350" width="27" style="17" customWidth="1"/>
    <col min="4351" max="4351" width="20.42578125" style="17" customWidth="1"/>
    <col min="4352" max="4353" width="19" style="17" customWidth="1"/>
    <col min="4354" max="4354" width="12.42578125" style="17" customWidth="1"/>
    <col min="4355" max="4356" width="9.7109375" style="17" customWidth="1"/>
    <col min="4357" max="4357" width="10.140625" style="17" customWidth="1"/>
    <col min="4358" max="4358" width="24.140625" style="17" customWidth="1"/>
    <col min="4359" max="4359" width="35.140625" style="17" customWidth="1"/>
    <col min="4360" max="4603" width="11.42578125" style="17"/>
    <col min="4604" max="4604" width="44.5703125" style="17" customWidth="1"/>
    <col min="4605" max="4605" width="28.42578125" style="17" customWidth="1"/>
    <col min="4606" max="4606" width="27" style="17" customWidth="1"/>
    <col min="4607" max="4607" width="20.42578125" style="17" customWidth="1"/>
    <col min="4608" max="4609" width="19" style="17" customWidth="1"/>
    <col min="4610" max="4610" width="12.42578125" style="17" customWidth="1"/>
    <col min="4611" max="4612" width="9.7109375" style="17" customWidth="1"/>
    <col min="4613" max="4613" width="10.140625" style="17" customWidth="1"/>
    <col min="4614" max="4614" width="24.140625" style="17" customWidth="1"/>
    <col min="4615" max="4615" width="35.140625" style="17" customWidth="1"/>
    <col min="4616" max="4859" width="11.42578125" style="17"/>
    <col min="4860" max="4860" width="44.5703125" style="17" customWidth="1"/>
    <col min="4861" max="4861" width="28.42578125" style="17" customWidth="1"/>
    <col min="4862" max="4862" width="27" style="17" customWidth="1"/>
    <col min="4863" max="4863" width="20.42578125" style="17" customWidth="1"/>
    <col min="4864" max="4865" width="19" style="17" customWidth="1"/>
    <col min="4866" max="4866" width="12.42578125" style="17" customWidth="1"/>
    <col min="4867" max="4868" width="9.7109375" style="17" customWidth="1"/>
    <col min="4869" max="4869" width="10.140625" style="17" customWidth="1"/>
    <col min="4870" max="4870" width="24.140625" style="17" customWidth="1"/>
    <col min="4871" max="4871" width="35.140625" style="17" customWidth="1"/>
    <col min="4872" max="5115" width="11.42578125" style="17"/>
    <col min="5116" max="5116" width="44.5703125" style="17" customWidth="1"/>
    <col min="5117" max="5117" width="28.42578125" style="17" customWidth="1"/>
    <col min="5118" max="5118" width="27" style="17" customWidth="1"/>
    <col min="5119" max="5119" width="20.42578125" style="17" customWidth="1"/>
    <col min="5120" max="5121" width="19" style="17" customWidth="1"/>
    <col min="5122" max="5122" width="12.42578125" style="17" customWidth="1"/>
    <col min="5123" max="5124" width="9.7109375" style="17" customWidth="1"/>
    <col min="5125" max="5125" width="10.140625" style="17" customWidth="1"/>
    <col min="5126" max="5126" width="24.140625" style="17" customWidth="1"/>
    <col min="5127" max="5127" width="35.140625" style="17" customWidth="1"/>
    <col min="5128" max="5371" width="11.42578125" style="17"/>
    <col min="5372" max="5372" width="44.5703125" style="17" customWidth="1"/>
    <col min="5373" max="5373" width="28.42578125" style="17" customWidth="1"/>
    <col min="5374" max="5374" width="27" style="17" customWidth="1"/>
    <col min="5375" max="5375" width="20.42578125" style="17" customWidth="1"/>
    <col min="5376" max="5377" width="19" style="17" customWidth="1"/>
    <col min="5378" max="5378" width="12.42578125" style="17" customWidth="1"/>
    <col min="5379" max="5380" width="9.7109375" style="17" customWidth="1"/>
    <col min="5381" max="5381" width="10.140625" style="17" customWidth="1"/>
    <col min="5382" max="5382" width="24.140625" style="17" customWidth="1"/>
    <col min="5383" max="5383" width="35.140625" style="17" customWidth="1"/>
    <col min="5384" max="5627" width="11.42578125" style="17"/>
    <col min="5628" max="5628" width="44.5703125" style="17" customWidth="1"/>
    <col min="5629" max="5629" width="28.42578125" style="17" customWidth="1"/>
    <col min="5630" max="5630" width="27" style="17" customWidth="1"/>
    <col min="5631" max="5631" width="20.42578125" style="17" customWidth="1"/>
    <col min="5632" max="5633" width="19" style="17" customWidth="1"/>
    <col min="5634" max="5634" width="12.42578125" style="17" customWidth="1"/>
    <col min="5635" max="5636" width="9.7109375" style="17" customWidth="1"/>
    <col min="5637" max="5637" width="10.140625" style="17" customWidth="1"/>
    <col min="5638" max="5638" width="24.140625" style="17" customWidth="1"/>
    <col min="5639" max="5639" width="35.140625" style="17" customWidth="1"/>
    <col min="5640" max="5883" width="11.42578125" style="17"/>
    <col min="5884" max="5884" width="44.5703125" style="17" customWidth="1"/>
    <col min="5885" max="5885" width="28.42578125" style="17" customWidth="1"/>
    <col min="5886" max="5886" width="27" style="17" customWidth="1"/>
    <col min="5887" max="5887" width="20.42578125" style="17" customWidth="1"/>
    <col min="5888" max="5889" width="19" style="17" customWidth="1"/>
    <col min="5890" max="5890" width="12.42578125" style="17" customWidth="1"/>
    <col min="5891" max="5892" width="9.7109375" style="17" customWidth="1"/>
    <col min="5893" max="5893" width="10.140625" style="17" customWidth="1"/>
    <col min="5894" max="5894" width="24.140625" style="17" customWidth="1"/>
    <col min="5895" max="5895" width="35.140625" style="17" customWidth="1"/>
    <col min="5896" max="6139" width="11.42578125" style="17"/>
    <col min="6140" max="6140" width="44.5703125" style="17" customWidth="1"/>
    <col min="6141" max="6141" width="28.42578125" style="17" customWidth="1"/>
    <col min="6142" max="6142" width="27" style="17" customWidth="1"/>
    <col min="6143" max="6143" width="20.42578125" style="17" customWidth="1"/>
    <col min="6144" max="6145" width="19" style="17" customWidth="1"/>
    <col min="6146" max="6146" width="12.42578125" style="17" customWidth="1"/>
    <col min="6147" max="6148" width="9.7109375" style="17" customWidth="1"/>
    <col min="6149" max="6149" width="10.140625" style="17" customWidth="1"/>
    <col min="6150" max="6150" width="24.140625" style="17" customWidth="1"/>
    <col min="6151" max="6151" width="35.140625" style="17" customWidth="1"/>
    <col min="6152" max="6395" width="11.42578125" style="17"/>
    <col min="6396" max="6396" width="44.5703125" style="17" customWidth="1"/>
    <col min="6397" max="6397" width="28.42578125" style="17" customWidth="1"/>
    <col min="6398" max="6398" width="27" style="17" customWidth="1"/>
    <col min="6399" max="6399" width="20.42578125" style="17" customWidth="1"/>
    <col min="6400" max="6401" width="19" style="17" customWidth="1"/>
    <col min="6402" max="6402" width="12.42578125" style="17" customWidth="1"/>
    <col min="6403" max="6404" width="9.7109375" style="17" customWidth="1"/>
    <col min="6405" max="6405" width="10.140625" style="17" customWidth="1"/>
    <col min="6406" max="6406" width="24.140625" style="17" customWidth="1"/>
    <col min="6407" max="6407" width="35.140625" style="17" customWidth="1"/>
    <col min="6408" max="6651" width="11.42578125" style="17"/>
    <col min="6652" max="6652" width="44.5703125" style="17" customWidth="1"/>
    <col min="6653" max="6653" width="28.42578125" style="17" customWidth="1"/>
    <col min="6654" max="6654" width="27" style="17" customWidth="1"/>
    <col min="6655" max="6655" width="20.42578125" style="17" customWidth="1"/>
    <col min="6656" max="6657" width="19" style="17" customWidth="1"/>
    <col min="6658" max="6658" width="12.42578125" style="17" customWidth="1"/>
    <col min="6659" max="6660" width="9.7109375" style="17" customWidth="1"/>
    <col min="6661" max="6661" width="10.140625" style="17" customWidth="1"/>
    <col min="6662" max="6662" width="24.140625" style="17" customWidth="1"/>
    <col min="6663" max="6663" width="35.140625" style="17" customWidth="1"/>
    <col min="6664" max="6907" width="11.42578125" style="17"/>
    <col min="6908" max="6908" width="44.5703125" style="17" customWidth="1"/>
    <col min="6909" max="6909" width="28.42578125" style="17" customWidth="1"/>
    <col min="6910" max="6910" width="27" style="17" customWidth="1"/>
    <col min="6911" max="6911" width="20.42578125" style="17" customWidth="1"/>
    <col min="6912" max="6913" width="19" style="17" customWidth="1"/>
    <col min="6914" max="6914" width="12.42578125" style="17" customWidth="1"/>
    <col min="6915" max="6916" width="9.7109375" style="17" customWidth="1"/>
    <col min="6917" max="6917" width="10.140625" style="17" customWidth="1"/>
    <col min="6918" max="6918" width="24.140625" style="17" customWidth="1"/>
    <col min="6919" max="6919" width="35.140625" style="17" customWidth="1"/>
    <col min="6920" max="7163" width="11.42578125" style="17"/>
    <col min="7164" max="7164" width="44.5703125" style="17" customWidth="1"/>
    <col min="7165" max="7165" width="28.42578125" style="17" customWidth="1"/>
    <col min="7166" max="7166" width="27" style="17" customWidth="1"/>
    <col min="7167" max="7167" width="20.42578125" style="17" customWidth="1"/>
    <col min="7168" max="7169" width="19" style="17" customWidth="1"/>
    <col min="7170" max="7170" width="12.42578125" style="17" customWidth="1"/>
    <col min="7171" max="7172" width="9.7109375" style="17" customWidth="1"/>
    <col min="7173" max="7173" width="10.140625" style="17" customWidth="1"/>
    <col min="7174" max="7174" width="24.140625" style="17" customWidth="1"/>
    <col min="7175" max="7175" width="35.140625" style="17" customWidth="1"/>
    <col min="7176" max="7419" width="11.42578125" style="17"/>
    <col min="7420" max="7420" width="44.5703125" style="17" customWidth="1"/>
    <col min="7421" max="7421" width="28.42578125" style="17" customWidth="1"/>
    <col min="7422" max="7422" width="27" style="17" customWidth="1"/>
    <col min="7423" max="7423" width="20.42578125" style="17" customWidth="1"/>
    <col min="7424" max="7425" width="19" style="17" customWidth="1"/>
    <col min="7426" max="7426" width="12.42578125" style="17" customWidth="1"/>
    <col min="7427" max="7428" width="9.7109375" style="17" customWidth="1"/>
    <col min="7429" max="7429" width="10.140625" style="17" customWidth="1"/>
    <col min="7430" max="7430" width="24.140625" style="17" customWidth="1"/>
    <col min="7431" max="7431" width="35.140625" style="17" customWidth="1"/>
    <col min="7432" max="7675" width="11.42578125" style="17"/>
    <col min="7676" max="7676" width="44.5703125" style="17" customWidth="1"/>
    <col min="7677" max="7677" width="28.42578125" style="17" customWidth="1"/>
    <col min="7678" max="7678" width="27" style="17" customWidth="1"/>
    <col min="7679" max="7679" width="20.42578125" style="17" customWidth="1"/>
    <col min="7680" max="7681" width="19" style="17" customWidth="1"/>
    <col min="7682" max="7682" width="12.42578125" style="17" customWidth="1"/>
    <col min="7683" max="7684" width="9.7109375" style="17" customWidth="1"/>
    <col min="7685" max="7685" width="10.140625" style="17" customWidth="1"/>
    <col min="7686" max="7686" width="24.140625" style="17" customWidth="1"/>
    <col min="7687" max="7687" width="35.140625" style="17" customWidth="1"/>
    <col min="7688" max="7931" width="11.42578125" style="17"/>
    <col min="7932" max="7932" width="44.5703125" style="17" customWidth="1"/>
    <col min="7933" max="7933" width="28.42578125" style="17" customWidth="1"/>
    <col min="7934" max="7934" width="27" style="17" customWidth="1"/>
    <col min="7935" max="7935" width="20.42578125" style="17" customWidth="1"/>
    <col min="7936" max="7937" width="19" style="17" customWidth="1"/>
    <col min="7938" max="7938" width="12.42578125" style="17" customWidth="1"/>
    <col min="7939" max="7940" width="9.7109375" style="17" customWidth="1"/>
    <col min="7941" max="7941" width="10.140625" style="17" customWidth="1"/>
    <col min="7942" max="7942" width="24.140625" style="17" customWidth="1"/>
    <col min="7943" max="7943" width="35.140625" style="17" customWidth="1"/>
    <col min="7944" max="8187" width="11.42578125" style="17"/>
    <col min="8188" max="8188" width="44.5703125" style="17" customWidth="1"/>
    <col min="8189" max="8189" width="28.42578125" style="17" customWidth="1"/>
    <col min="8190" max="8190" width="27" style="17" customWidth="1"/>
    <col min="8191" max="8191" width="20.42578125" style="17" customWidth="1"/>
    <col min="8192" max="8193" width="19" style="17" customWidth="1"/>
    <col min="8194" max="8194" width="12.42578125" style="17" customWidth="1"/>
    <col min="8195" max="8196" width="9.7109375" style="17" customWidth="1"/>
    <col min="8197" max="8197" width="10.140625" style="17" customWidth="1"/>
    <col min="8198" max="8198" width="24.140625" style="17" customWidth="1"/>
    <col min="8199" max="8199" width="35.140625" style="17" customWidth="1"/>
    <col min="8200" max="8443" width="11.42578125" style="17"/>
    <col min="8444" max="8444" width="44.5703125" style="17" customWidth="1"/>
    <col min="8445" max="8445" width="28.42578125" style="17" customWidth="1"/>
    <col min="8446" max="8446" width="27" style="17" customWidth="1"/>
    <col min="8447" max="8447" width="20.42578125" style="17" customWidth="1"/>
    <col min="8448" max="8449" width="19" style="17" customWidth="1"/>
    <col min="8450" max="8450" width="12.42578125" style="17" customWidth="1"/>
    <col min="8451" max="8452" width="9.7109375" style="17" customWidth="1"/>
    <col min="8453" max="8453" width="10.140625" style="17" customWidth="1"/>
    <col min="8454" max="8454" width="24.140625" style="17" customWidth="1"/>
    <col min="8455" max="8455" width="35.140625" style="17" customWidth="1"/>
    <col min="8456" max="8699" width="11.42578125" style="17"/>
    <col min="8700" max="8700" width="44.5703125" style="17" customWidth="1"/>
    <col min="8701" max="8701" width="28.42578125" style="17" customWidth="1"/>
    <col min="8702" max="8702" width="27" style="17" customWidth="1"/>
    <col min="8703" max="8703" width="20.42578125" style="17" customWidth="1"/>
    <col min="8704" max="8705" width="19" style="17" customWidth="1"/>
    <col min="8706" max="8706" width="12.42578125" style="17" customWidth="1"/>
    <col min="8707" max="8708" width="9.7109375" style="17" customWidth="1"/>
    <col min="8709" max="8709" width="10.140625" style="17" customWidth="1"/>
    <col min="8710" max="8710" width="24.140625" style="17" customWidth="1"/>
    <col min="8711" max="8711" width="35.140625" style="17" customWidth="1"/>
    <col min="8712" max="8955" width="11.42578125" style="17"/>
    <col min="8956" max="8956" width="44.5703125" style="17" customWidth="1"/>
    <col min="8957" max="8957" width="28.42578125" style="17" customWidth="1"/>
    <col min="8958" max="8958" width="27" style="17" customWidth="1"/>
    <col min="8959" max="8959" width="20.42578125" style="17" customWidth="1"/>
    <col min="8960" max="8961" width="19" style="17" customWidth="1"/>
    <col min="8962" max="8962" width="12.42578125" style="17" customWidth="1"/>
    <col min="8963" max="8964" width="9.7109375" style="17" customWidth="1"/>
    <col min="8965" max="8965" width="10.140625" style="17" customWidth="1"/>
    <col min="8966" max="8966" width="24.140625" style="17" customWidth="1"/>
    <col min="8967" max="8967" width="35.140625" style="17" customWidth="1"/>
    <col min="8968" max="9211" width="11.42578125" style="17"/>
    <col min="9212" max="9212" width="44.5703125" style="17" customWidth="1"/>
    <col min="9213" max="9213" width="28.42578125" style="17" customWidth="1"/>
    <col min="9214" max="9214" width="27" style="17" customWidth="1"/>
    <col min="9215" max="9215" width="20.42578125" style="17" customWidth="1"/>
    <col min="9216" max="9217" width="19" style="17" customWidth="1"/>
    <col min="9218" max="9218" width="12.42578125" style="17" customWidth="1"/>
    <col min="9219" max="9220" width="9.7109375" style="17" customWidth="1"/>
    <col min="9221" max="9221" width="10.140625" style="17" customWidth="1"/>
    <col min="9222" max="9222" width="24.140625" style="17" customWidth="1"/>
    <col min="9223" max="9223" width="35.140625" style="17" customWidth="1"/>
    <col min="9224" max="9467" width="11.42578125" style="17"/>
    <col min="9468" max="9468" width="44.5703125" style="17" customWidth="1"/>
    <col min="9469" max="9469" width="28.42578125" style="17" customWidth="1"/>
    <col min="9470" max="9470" width="27" style="17" customWidth="1"/>
    <col min="9471" max="9471" width="20.42578125" style="17" customWidth="1"/>
    <col min="9472" max="9473" width="19" style="17" customWidth="1"/>
    <col min="9474" max="9474" width="12.42578125" style="17" customWidth="1"/>
    <col min="9475" max="9476" width="9.7109375" style="17" customWidth="1"/>
    <col min="9477" max="9477" width="10.140625" style="17" customWidth="1"/>
    <col min="9478" max="9478" width="24.140625" style="17" customWidth="1"/>
    <col min="9479" max="9479" width="35.140625" style="17" customWidth="1"/>
    <col min="9480" max="9723" width="11.42578125" style="17"/>
    <col min="9724" max="9724" width="44.5703125" style="17" customWidth="1"/>
    <col min="9725" max="9725" width="28.42578125" style="17" customWidth="1"/>
    <col min="9726" max="9726" width="27" style="17" customWidth="1"/>
    <col min="9727" max="9727" width="20.42578125" style="17" customWidth="1"/>
    <col min="9728" max="9729" width="19" style="17" customWidth="1"/>
    <col min="9730" max="9730" width="12.42578125" style="17" customWidth="1"/>
    <col min="9731" max="9732" width="9.7109375" style="17" customWidth="1"/>
    <col min="9733" max="9733" width="10.140625" style="17" customWidth="1"/>
    <col min="9734" max="9734" width="24.140625" style="17" customWidth="1"/>
    <col min="9735" max="9735" width="35.140625" style="17" customWidth="1"/>
    <col min="9736" max="9979" width="11.42578125" style="17"/>
    <col min="9980" max="9980" width="44.5703125" style="17" customWidth="1"/>
    <col min="9981" max="9981" width="28.42578125" style="17" customWidth="1"/>
    <col min="9982" max="9982" width="27" style="17" customWidth="1"/>
    <col min="9983" max="9983" width="20.42578125" style="17" customWidth="1"/>
    <col min="9984" max="9985" width="19" style="17" customWidth="1"/>
    <col min="9986" max="9986" width="12.42578125" style="17" customWidth="1"/>
    <col min="9987" max="9988" width="9.7109375" style="17" customWidth="1"/>
    <col min="9989" max="9989" width="10.140625" style="17" customWidth="1"/>
    <col min="9990" max="9990" width="24.140625" style="17" customWidth="1"/>
    <col min="9991" max="9991" width="35.140625" style="17" customWidth="1"/>
    <col min="9992" max="10235" width="11.42578125" style="17"/>
    <col min="10236" max="10236" width="44.5703125" style="17" customWidth="1"/>
    <col min="10237" max="10237" width="28.42578125" style="17" customWidth="1"/>
    <col min="10238" max="10238" width="27" style="17" customWidth="1"/>
    <col min="10239" max="10239" width="20.42578125" style="17" customWidth="1"/>
    <col min="10240" max="10241" width="19" style="17" customWidth="1"/>
    <col min="10242" max="10242" width="12.42578125" style="17" customWidth="1"/>
    <col min="10243" max="10244" width="9.7109375" style="17" customWidth="1"/>
    <col min="10245" max="10245" width="10.140625" style="17" customWidth="1"/>
    <col min="10246" max="10246" width="24.140625" style="17" customWidth="1"/>
    <col min="10247" max="10247" width="35.140625" style="17" customWidth="1"/>
    <col min="10248" max="10491" width="11.42578125" style="17"/>
    <col min="10492" max="10492" width="44.5703125" style="17" customWidth="1"/>
    <col min="10493" max="10493" width="28.42578125" style="17" customWidth="1"/>
    <col min="10494" max="10494" width="27" style="17" customWidth="1"/>
    <col min="10495" max="10495" width="20.42578125" style="17" customWidth="1"/>
    <col min="10496" max="10497" width="19" style="17" customWidth="1"/>
    <col min="10498" max="10498" width="12.42578125" style="17" customWidth="1"/>
    <col min="10499" max="10500" width="9.7109375" style="17" customWidth="1"/>
    <col min="10501" max="10501" width="10.140625" style="17" customWidth="1"/>
    <col min="10502" max="10502" width="24.140625" style="17" customWidth="1"/>
    <col min="10503" max="10503" width="35.140625" style="17" customWidth="1"/>
    <col min="10504" max="10747" width="11.42578125" style="17"/>
    <col min="10748" max="10748" width="44.5703125" style="17" customWidth="1"/>
    <col min="10749" max="10749" width="28.42578125" style="17" customWidth="1"/>
    <col min="10750" max="10750" width="27" style="17" customWidth="1"/>
    <col min="10751" max="10751" width="20.42578125" style="17" customWidth="1"/>
    <col min="10752" max="10753" width="19" style="17" customWidth="1"/>
    <col min="10754" max="10754" width="12.42578125" style="17" customWidth="1"/>
    <col min="10755" max="10756" width="9.7109375" style="17" customWidth="1"/>
    <col min="10757" max="10757" width="10.140625" style="17" customWidth="1"/>
    <col min="10758" max="10758" width="24.140625" style="17" customWidth="1"/>
    <col min="10759" max="10759" width="35.140625" style="17" customWidth="1"/>
    <col min="10760" max="11003" width="11.42578125" style="17"/>
    <col min="11004" max="11004" width="44.5703125" style="17" customWidth="1"/>
    <col min="11005" max="11005" width="28.42578125" style="17" customWidth="1"/>
    <col min="11006" max="11006" width="27" style="17" customWidth="1"/>
    <col min="11007" max="11007" width="20.42578125" style="17" customWidth="1"/>
    <col min="11008" max="11009" width="19" style="17" customWidth="1"/>
    <col min="11010" max="11010" width="12.42578125" style="17" customWidth="1"/>
    <col min="11011" max="11012" width="9.7109375" style="17" customWidth="1"/>
    <col min="11013" max="11013" width="10.140625" style="17" customWidth="1"/>
    <col min="11014" max="11014" width="24.140625" style="17" customWidth="1"/>
    <col min="11015" max="11015" width="35.140625" style="17" customWidth="1"/>
    <col min="11016" max="11259" width="11.42578125" style="17"/>
    <col min="11260" max="11260" width="44.5703125" style="17" customWidth="1"/>
    <col min="11261" max="11261" width="28.42578125" style="17" customWidth="1"/>
    <col min="11262" max="11262" width="27" style="17" customWidth="1"/>
    <col min="11263" max="11263" width="20.42578125" style="17" customWidth="1"/>
    <col min="11264" max="11265" width="19" style="17" customWidth="1"/>
    <col min="11266" max="11266" width="12.42578125" style="17" customWidth="1"/>
    <col min="11267" max="11268" width="9.7109375" style="17" customWidth="1"/>
    <col min="11269" max="11269" width="10.140625" style="17" customWidth="1"/>
    <col min="11270" max="11270" width="24.140625" style="17" customWidth="1"/>
    <col min="11271" max="11271" width="35.140625" style="17" customWidth="1"/>
    <col min="11272" max="11515" width="11.42578125" style="17"/>
    <col min="11516" max="11516" width="44.5703125" style="17" customWidth="1"/>
    <col min="11517" max="11517" width="28.42578125" style="17" customWidth="1"/>
    <col min="11518" max="11518" width="27" style="17" customWidth="1"/>
    <col min="11519" max="11519" width="20.42578125" style="17" customWidth="1"/>
    <col min="11520" max="11521" width="19" style="17" customWidth="1"/>
    <col min="11522" max="11522" width="12.42578125" style="17" customWidth="1"/>
    <col min="11523" max="11524" width="9.7109375" style="17" customWidth="1"/>
    <col min="11525" max="11525" width="10.140625" style="17" customWidth="1"/>
    <col min="11526" max="11526" width="24.140625" style="17" customWidth="1"/>
    <col min="11527" max="11527" width="35.140625" style="17" customWidth="1"/>
    <col min="11528" max="11771" width="11.42578125" style="17"/>
    <col min="11772" max="11772" width="44.5703125" style="17" customWidth="1"/>
    <col min="11773" max="11773" width="28.42578125" style="17" customWidth="1"/>
    <col min="11774" max="11774" width="27" style="17" customWidth="1"/>
    <col min="11775" max="11775" width="20.42578125" style="17" customWidth="1"/>
    <col min="11776" max="11777" width="19" style="17" customWidth="1"/>
    <col min="11778" max="11778" width="12.42578125" style="17" customWidth="1"/>
    <col min="11779" max="11780" width="9.7109375" style="17" customWidth="1"/>
    <col min="11781" max="11781" width="10.140625" style="17" customWidth="1"/>
    <col min="11782" max="11782" width="24.140625" style="17" customWidth="1"/>
    <col min="11783" max="11783" width="35.140625" style="17" customWidth="1"/>
    <col min="11784" max="12027" width="11.42578125" style="17"/>
    <col min="12028" max="12028" width="44.5703125" style="17" customWidth="1"/>
    <col min="12029" max="12029" width="28.42578125" style="17" customWidth="1"/>
    <col min="12030" max="12030" width="27" style="17" customWidth="1"/>
    <col min="12031" max="12031" width="20.42578125" style="17" customWidth="1"/>
    <col min="12032" max="12033" width="19" style="17" customWidth="1"/>
    <col min="12034" max="12034" width="12.42578125" style="17" customWidth="1"/>
    <col min="12035" max="12036" width="9.7109375" style="17" customWidth="1"/>
    <col min="12037" max="12037" width="10.140625" style="17" customWidth="1"/>
    <col min="12038" max="12038" width="24.140625" style="17" customWidth="1"/>
    <col min="12039" max="12039" width="35.140625" style="17" customWidth="1"/>
    <col min="12040" max="12283" width="11.42578125" style="17"/>
    <col min="12284" max="12284" width="44.5703125" style="17" customWidth="1"/>
    <col min="12285" max="12285" width="28.42578125" style="17" customWidth="1"/>
    <col min="12286" max="12286" width="27" style="17" customWidth="1"/>
    <col min="12287" max="12287" width="20.42578125" style="17" customWidth="1"/>
    <col min="12288" max="12289" width="19" style="17" customWidth="1"/>
    <col min="12290" max="12290" width="12.42578125" style="17" customWidth="1"/>
    <col min="12291" max="12292" width="9.7109375" style="17" customWidth="1"/>
    <col min="12293" max="12293" width="10.140625" style="17" customWidth="1"/>
    <col min="12294" max="12294" width="24.140625" style="17" customWidth="1"/>
    <col min="12295" max="12295" width="35.140625" style="17" customWidth="1"/>
    <col min="12296" max="12539" width="11.42578125" style="17"/>
    <col min="12540" max="12540" width="44.5703125" style="17" customWidth="1"/>
    <col min="12541" max="12541" width="28.42578125" style="17" customWidth="1"/>
    <col min="12542" max="12542" width="27" style="17" customWidth="1"/>
    <col min="12543" max="12543" width="20.42578125" style="17" customWidth="1"/>
    <col min="12544" max="12545" width="19" style="17" customWidth="1"/>
    <col min="12546" max="12546" width="12.42578125" style="17" customWidth="1"/>
    <col min="12547" max="12548" width="9.7109375" style="17" customWidth="1"/>
    <col min="12549" max="12549" width="10.140625" style="17" customWidth="1"/>
    <col min="12550" max="12550" width="24.140625" style="17" customWidth="1"/>
    <col min="12551" max="12551" width="35.140625" style="17" customWidth="1"/>
    <col min="12552" max="12795" width="11.42578125" style="17"/>
    <col min="12796" max="12796" width="44.5703125" style="17" customWidth="1"/>
    <col min="12797" max="12797" width="28.42578125" style="17" customWidth="1"/>
    <col min="12798" max="12798" width="27" style="17" customWidth="1"/>
    <col min="12799" max="12799" width="20.42578125" style="17" customWidth="1"/>
    <col min="12800" max="12801" width="19" style="17" customWidth="1"/>
    <col min="12802" max="12802" width="12.42578125" style="17" customWidth="1"/>
    <col min="12803" max="12804" width="9.7109375" style="17" customWidth="1"/>
    <col min="12805" max="12805" width="10.140625" style="17" customWidth="1"/>
    <col min="12806" max="12806" width="24.140625" style="17" customWidth="1"/>
    <col min="12807" max="12807" width="35.140625" style="17" customWidth="1"/>
    <col min="12808" max="13051" width="11.42578125" style="17"/>
    <col min="13052" max="13052" width="44.5703125" style="17" customWidth="1"/>
    <col min="13053" max="13053" width="28.42578125" style="17" customWidth="1"/>
    <col min="13054" max="13054" width="27" style="17" customWidth="1"/>
    <col min="13055" max="13055" width="20.42578125" style="17" customWidth="1"/>
    <col min="13056" max="13057" width="19" style="17" customWidth="1"/>
    <col min="13058" max="13058" width="12.42578125" style="17" customWidth="1"/>
    <col min="13059" max="13060" width="9.7109375" style="17" customWidth="1"/>
    <col min="13061" max="13061" width="10.140625" style="17" customWidth="1"/>
    <col min="13062" max="13062" width="24.140625" style="17" customWidth="1"/>
    <col min="13063" max="13063" width="35.140625" style="17" customWidth="1"/>
    <col min="13064" max="13307" width="11.42578125" style="17"/>
    <col min="13308" max="13308" width="44.5703125" style="17" customWidth="1"/>
    <col min="13309" max="13309" width="28.42578125" style="17" customWidth="1"/>
    <col min="13310" max="13310" width="27" style="17" customWidth="1"/>
    <col min="13311" max="13311" width="20.42578125" style="17" customWidth="1"/>
    <col min="13312" max="13313" width="19" style="17" customWidth="1"/>
    <col min="13314" max="13314" width="12.42578125" style="17" customWidth="1"/>
    <col min="13315" max="13316" width="9.7109375" style="17" customWidth="1"/>
    <col min="13317" max="13317" width="10.140625" style="17" customWidth="1"/>
    <col min="13318" max="13318" width="24.140625" style="17" customWidth="1"/>
    <col min="13319" max="13319" width="35.140625" style="17" customWidth="1"/>
    <col min="13320" max="13563" width="11.42578125" style="17"/>
    <col min="13564" max="13564" width="44.5703125" style="17" customWidth="1"/>
    <col min="13565" max="13565" width="28.42578125" style="17" customWidth="1"/>
    <col min="13566" max="13566" width="27" style="17" customWidth="1"/>
    <col min="13567" max="13567" width="20.42578125" style="17" customWidth="1"/>
    <col min="13568" max="13569" width="19" style="17" customWidth="1"/>
    <col min="13570" max="13570" width="12.42578125" style="17" customWidth="1"/>
    <col min="13571" max="13572" width="9.7109375" style="17" customWidth="1"/>
    <col min="13573" max="13573" width="10.140625" style="17" customWidth="1"/>
    <col min="13574" max="13574" width="24.140625" style="17" customWidth="1"/>
    <col min="13575" max="13575" width="35.140625" style="17" customWidth="1"/>
    <col min="13576" max="13819" width="11.42578125" style="17"/>
    <col min="13820" max="13820" width="44.5703125" style="17" customWidth="1"/>
    <col min="13821" max="13821" width="28.42578125" style="17" customWidth="1"/>
    <col min="13822" max="13822" width="27" style="17" customWidth="1"/>
    <col min="13823" max="13823" width="20.42578125" style="17" customWidth="1"/>
    <col min="13824" max="13825" width="19" style="17" customWidth="1"/>
    <col min="13826" max="13826" width="12.42578125" style="17" customWidth="1"/>
    <col min="13827" max="13828" width="9.7109375" style="17" customWidth="1"/>
    <col min="13829" max="13829" width="10.140625" style="17" customWidth="1"/>
    <col min="13830" max="13830" width="24.140625" style="17" customWidth="1"/>
    <col min="13831" max="13831" width="35.140625" style="17" customWidth="1"/>
    <col min="13832" max="14075" width="11.42578125" style="17"/>
    <col min="14076" max="14076" width="44.5703125" style="17" customWidth="1"/>
    <col min="14077" max="14077" width="28.42578125" style="17" customWidth="1"/>
    <col min="14078" max="14078" width="27" style="17" customWidth="1"/>
    <col min="14079" max="14079" width="20.42578125" style="17" customWidth="1"/>
    <col min="14080" max="14081" width="19" style="17" customWidth="1"/>
    <col min="14082" max="14082" width="12.42578125" style="17" customWidth="1"/>
    <col min="14083" max="14084" width="9.7109375" style="17" customWidth="1"/>
    <col min="14085" max="14085" width="10.140625" style="17" customWidth="1"/>
    <col min="14086" max="14086" width="24.140625" style="17" customWidth="1"/>
    <col min="14087" max="14087" width="35.140625" style="17" customWidth="1"/>
    <col min="14088" max="14331" width="11.42578125" style="17"/>
    <col min="14332" max="14332" width="44.5703125" style="17" customWidth="1"/>
    <col min="14333" max="14333" width="28.42578125" style="17" customWidth="1"/>
    <col min="14334" max="14334" width="27" style="17" customWidth="1"/>
    <col min="14335" max="14335" width="20.42578125" style="17" customWidth="1"/>
    <col min="14336" max="14337" width="19" style="17" customWidth="1"/>
    <col min="14338" max="14338" width="12.42578125" style="17" customWidth="1"/>
    <col min="14339" max="14340" width="9.7109375" style="17" customWidth="1"/>
    <col min="14341" max="14341" width="10.140625" style="17" customWidth="1"/>
    <col min="14342" max="14342" width="24.140625" style="17" customWidth="1"/>
    <col min="14343" max="14343" width="35.140625" style="17" customWidth="1"/>
    <col min="14344" max="14587" width="11.42578125" style="17"/>
    <col min="14588" max="14588" width="44.5703125" style="17" customWidth="1"/>
    <col min="14589" max="14589" width="28.42578125" style="17" customWidth="1"/>
    <col min="14590" max="14590" width="27" style="17" customWidth="1"/>
    <col min="14591" max="14591" width="20.42578125" style="17" customWidth="1"/>
    <col min="14592" max="14593" width="19" style="17" customWidth="1"/>
    <col min="14594" max="14594" width="12.42578125" style="17" customWidth="1"/>
    <col min="14595" max="14596" width="9.7109375" style="17" customWidth="1"/>
    <col min="14597" max="14597" width="10.140625" style="17" customWidth="1"/>
    <col min="14598" max="14598" width="24.140625" style="17" customWidth="1"/>
    <col min="14599" max="14599" width="35.140625" style="17" customWidth="1"/>
    <col min="14600" max="14843" width="11.42578125" style="17"/>
    <col min="14844" max="14844" width="44.5703125" style="17" customWidth="1"/>
    <col min="14845" max="14845" width="28.42578125" style="17" customWidth="1"/>
    <col min="14846" max="14846" width="27" style="17" customWidth="1"/>
    <col min="14847" max="14847" width="20.42578125" style="17" customWidth="1"/>
    <col min="14848" max="14849" width="19" style="17" customWidth="1"/>
    <col min="14850" max="14850" width="12.42578125" style="17" customWidth="1"/>
    <col min="14851" max="14852" width="9.7109375" style="17" customWidth="1"/>
    <col min="14853" max="14853" width="10.140625" style="17" customWidth="1"/>
    <col min="14854" max="14854" width="24.140625" style="17" customWidth="1"/>
    <col min="14855" max="14855" width="35.140625" style="17" customWidth="1"/>
    <col min="14856" max="15099" width="11.42578125" style="17"/>
    <col min="15100" max="15100" width="44.5703125" style="17" customWidth="1"/>
    <col min="15101" max="15101" width="28.42578125" style="17" customWidth="1"/>
    <col min="15102" max="15102" width="27" style="17" customWidth="1"/>
    <col min="15103" max="15103" width="20.42578125" style="17" customWidth="1"/>
    <col min="15104" max="15105" width="19" style="17" customWidth="1"/>
    <col min="15106" max="15106" width="12.42578125" style="17" customWidth="1"/>
    <col min="15107" max="15108" width="9.7109375" style="17" customWidth="1"/>
    <col min="15109" max="15109" width="10.140625" style="17" customWidth="1"/>
    <col min="15110" max="15110" width="24.140625" style="17" customWidth="1"/>
    <col min="15111" max="15111" width="35.140625" style="17" customWidth="1"/>
    <col min="15112" max="15355" width="11.42578125" style="17"/>
    <col min="15356" max="15356" width="44.5703125" style="17" customWidth="1"/>
    <col min="15357" max="15357" width="28.42578125" style="17" customWidth="1"/>
    <col min="15358" max="15358" width="27" style="17" customWidth="1"/>
    <col min="15359" max="15359" width="20.42578125" style="17" customWidth="1"/>
    <col min="15360" max="15361" width="19" style="17" customWidth="1"/>
    <col min="15362" max="15362" width="12.42578125" style="17" customWidth="1"/>
    <col min="15363" max="15364" width="9.7109375" style="17" customWidth="1"/>
    <col min="15365" max="15365" width="10.140625" style="17" customWidth="1"/>
    <col min="15366" max="15366" width="24.140625" style="17" customWidth="1"/>
    <col min="15367" max="15367" width="35.140625" style="17" customWidth="1"/>
    <col min="15368" max="15611" width="11.42578125" style="17"/>
    <col min="15612" max="15612" width="44.5703125" style="17" customWidth="1"/>
    <col min="15613" max="15613" width="28.42578125" style="17" customWidth="1"/>
    <col min="15614" max="15614" width="27" style="17" customWidth="1"/>
    <col min="15615" max="15615" width="20.42578125" style="17" customWidth="1"/>
    <col min="15616" max="15617" width="19" style="17" customWidth="1"/>
    <col min="15618" max="15618" width="12.42578125" style="17" customWidth="1"/>
    <col min="15619" max="15620" width="9.7109375" style="17" customWidth="1"/>
    <col min="15621" max="15621" width="10.140625" style="17" customWidth="1"/>
    <col min="15622" max="15622" width="24.140625" style="17" customWidth="1"/>
    <col min="15623" max="15623" width="35.140625" style="17" customWidth="1"/>
    <col min="15624" max="15867" width="11.42578125" style="17"/>
    <col min="15868" max="15868" width="44.5703125" style="17" customWidth="1"/>
    <col min="15869" max="15869" width="28.42578125" style="17" customWidth="1"/>
    <col min="15870" max="15870" width="27" style="17" customWidth="1"/>
    <col min="15871" max="15871" width="20.42578125" style="17" customWidth="1"/>
    <col min="15872" max="15873" width="19" style="17" customWidth="1"/>
    <col min="15874" max="15874" width="12.42578125" style="17" customWidth="1"/>
    <col min="15875" max="15876" width="9.7109375" style="17" customWidth="1"/>
    <col min="15877" max="15877" width="10.140625" style="17" customWidth="1"/>
    <col min="15878" max="15878" width="24.140625" style="17" customWidth="1"/>
    <col min="15879" max="15879" width="35.140625" style="17" customWidth="1"/>
    <col min="15880" max="16123" width="11.42578125" style="17"/>
    <col min="16124" max="16124" width="44.5703125" style="17" customWidth="1"/>
    <col min="16125" max="16125" width="28.42578125" style="17" customWidth="1"/>
    <col min="16126" max="16126" width="27" style="17" customWidth="1"/>
    <col min="16127" max="16127" width="20.42578125" style="17" customWidth="1"/>
    <col min="16128" max="16129" width="19" style="17" customWidth="1"/>
    <col min="16130" max="16130" width="12.42578125" style="17" customWidth="1"/>
    <col min="16131" max="16132" width="9.7109375" style="17" customWidth="1"/>
    <col min="16133" max="16133" width="10.140625" style="17" customWidth="1"/>
    <col min="16134" max="16134" width="24.140625" style="17" customWidth="1"/>
    <col min="16135" max="16135" width="35.140625" style="17" customWidth="1"/>
    <col min="16136" max="16384" width="11.42578125" style="17"/>
  </cols>
  <sheetData>
    <row r="2" spans="2:18" ht="73.900000000000006" customHeight="1">
      <c r="B2" s="1093" t="s">
        <v>307</v>
      </c>
      <c r="C2" s="1093"/>
      <c r="D2" s="1093"/>
      <c r="E2" s="1093"/>
      <c r="F2" s="1093"/>
      <c r="G2" s="1093"/>
      <c r="H2" s="1093"/>
      <c r="I2" s="1093"/>
      <c r="J2" s="1093"/>
      <c r="K2" s="1093"/>
      <c r="L2" s="1093"/>
      <c r="M2" s="1093"/>
      <c r="N2" s="1093"/>
      <c r="O2" s="1093"/>
      <c r="P2" s="1093"/>
    </row>
    <row r="3" spans="2:18" ht="20.45" customHeight="1">
      <c r="B3" s="1094" t="s">
        <v>308</v>
      </c>
      <c r="C3" s="1094"/>
      <c r="D3" s="1094"/>
      <c r="E3" s="1094"/>
      <c r="F3" s="1094"/>
      <c r="G3" s="1094"/>
      <c r="H3" s="1094"/>
      <c r="I3" s="1094"/>
      <c r="J3" s="1094"/>
      <c r="K3" s="1094"/>
      <c r="L3" s="1094"/>
      <c r="M3" s="1094"/>
      <c r="N3" s="1094"/>
      <c r="O3" s="1094"/>
      <c r="P3" s="1094"/>
    </row>
    <row r="4" spans="2:18" ht="13.5" customHeight="1">
      <c r="B4" s="1094" t="s">
        <v>2035</v>
      </c>
      <c r="C4" s="1094"/>
      <c r="D4" s="1094"/>
      <c r="E4" s="1094"/>
      <c r="F4" s="1094"/>
      <c r="G4" s="1094"/>
      <c r="H4" s="1094"/>
      <c r="I4" s="1094"/>
      <c r="J4" s="1094"/>
      <c r="K4" s="1094"/>
      <c r="L4" s="1094"/>
      <c r="M4" s="1094"/>
      <c r="N4" s="1094"/>
      <c r="O4" s="1094"/>
      <c r="P4" s="1094"/>
    </row>
    <row r="5" spans="2:18" ht="12.75" customHeight="1">
      <c r="B5" s="1095" t="s">
        <v>228</v>
      </c>
      <c r="C5" s="1095"/>
      <c r="D5" s="1095"/>
      <c r="E5" s="1095"/>
      <c r="F5" s="1095"/>
      <c r="G5" s="1095"/>
      <c r="H5" s="1095"/>
      <c r="I5" s="1095"/>
      <c r="J5" s="1095"/>
      <c r="K5" s="1095"/>
      <c r="L5" s="1095"/>
      <c r="M5" s="1095"/>
      <c r="N5" s="1095"/>
      <c r="O5" s="1095"/>
      <c r="P5" s="1095"/>
    </row>
    <row r="6" spans="2:18" ht="12.75">
      <c r="B6" s="1531" t="s">
        <v>48</v>
      </c>
      <c r="C6" s="1531" t="s">
        <v>49</v>
      </c>
      <c r="D6" s="1531" t="s">
        <v>229</v>
      </c>
      <c r="E6" s="1531" t="s">
        <v>1224</v>
      </c>
      <c r="F6" s="1531" t="s">
        <v>1225</v>
      </c>
      <c r="G6" s="1531" t="s">
        <v>1226</v>
      </c>
      <c r="H6" s="1531" t="s">
        <v>1227</v>
      </c>
      <c r="I6" s="1531" t="s">
        <v>1228</v>
      </c>
      <c r="J6" s="1531" t="s">
        <v>2036</v>
      </c>
      <c r="K6" s="1531" t="s">
        <v>1229</v>
      </c>
      <c r="L6" s="1531" t="s">
        <v>1230</v>
      </c>
      <c r="M6" s="1531" t="s">
        <v>1231</v>
      </c>
      <c r="N6" s="1531" t="s">
        <v>1232</v>
      </c>
      <c r="O6" s="1536" t="s">
        <v>234</v>
      </c>
      <c r="P6" s="1537"/>
      <c r="Q6" s="1538" t="s">
        <v>2037</v>
      </c>
      <c r="R6" s="1538"/>
    </row>
    <row r="7" spans="2:18" ht="24" customHeight="1">
      <c r="B7" s="1532"/>
      <c r="C7" s="1532"/>
      <c r="D7" s="1532"/>
      <c r="E7" s="1532"/>
      <c r="F7" s="1532"/>
      <c r="G7" s="1532"/>
      <c r="H7" s="1532"/>
      <c r="I7" s="1532"/>
      <c r="J7" s="1532"/>
      <c r="K7" s="1532"/>
      <c r="L7" s="1532"/>
      <c r="M7" s="1532"/>
      <c r="N7" s="1532"/>
      <c r="O7" s="1536" t="s">
        <v>237</v>
      </c>
      <c r="P7" s="1539"/>
      <c r="Q7" s="1540" t="s">
        <v>18</v>
      </c>
      <c r="R7" s="1540" t="s">
        <v>71</v>
      </c>
    </row>
    <row r="8" spans="2:18" ht="24" customHeight="1">
      <c r="B8" s="598" t="s">
        <v>1233</v>
      </c>
      <c r="C8" s="599">
        <f>SUM(C9:C14)</f>
        <v>8000000000</v>
      </c>
      <c r="D8" s="598"/>
      <c r="E8" s="598"/>
      <c r="F8" s="598"/>
      <c r="G8" s="598"/>
      <c r="H8" s="598"/>
      <c r="I8" s="598"/>
      <c r="J8" s="598"/>
      <c r="K8" s="598"/>
      <c r="L8" s="598"/>
      <c r="M8" s="598"/>
      <c r="N8" s="598"/>
      <c r="O8" s="104" t="s">
        <v>239</v>
      </c>
      <c r="P8" s="538" t="s">
        <v>240</v>
      </c>
      <c r="Q8" s="1540"/>
      <c r="R8" s="1540"/>
    </row>
    <row r="9" spans="2:18" s="101" customFormat="1" ht="24" customHeight="1">
      <c r="B9" s="1533" t="s">
        <v>1234</v>
      </c>
      <c r="C9" s="600">
        <v>4000000000</v>
      </c>
      <c r="D9" s="601" t="s">
        <v>1235</v>
      </c>
      <c r="E9" s="1096">
        <v>42094</v>
      </c>
      <c r="F9" s="602">
        <v>42109</v>
      </c>
      <c r="G9" s="602">
        <v>42124</v>
      </c>
      <c r="H9" s="602">
        <v>42153</v>
      </c>
      <c r="I9" s="602">
        <v>42171</v>
      </c>
      <c r="J9" s="602">
        <v>42216</v>
      </c>
      <c r="K9" s="602">
        <v>42244</v>
      </c>
      <c r="L9" s="602">
        <v>42277</v>
      </c>
      <c r="M9" s="602">
        <v>42307</v>
      </c>
      <c r="N9" s="602">
        <v>42328</v>
      </c>
      <c r="O9" s="481">
        <v>42353</v>
      </c>
      <c r="P9" s="1097">
        <v>0</v>
      </c>
      <c r="Q9" s="1098">
        <v>1</v>
      </c>
      <c r="R9" s="1099" t="s">
        <v>2038</v>
      </c>
    </row>
    <row r="10" spans="2:18" ht="24" customHeight="1">
      <c r="B10" s="1534"/>
      <c r="C10" s="600">
        <v>0</v>
      </c>
      <c r="D10" s="601" t="s">
        <v>1236</v>
      </c>
      <c r="E10" s="1096">
        <v>42094</v>
      </c>
      <c r="F10" s="602">
        <v>42109</v>
      </c>
      <c r="G10" s="602">
        <v>42124</v>
      </c>
      <c r="H10" s="602">
        <v>42153</v>
      </c>
      <c r="I10" s="602">
        <v>42171</v>
      </c>
      <c r="J10" s="602">
        <v>42216</v>
      </c>
      <c r="K10" s="602">
        <v>42244</v>
      </c>
      <c r="L10" s="602">
        <v>42277</v>
      </c>
      <c r="M10" s="602">
        <v>42307</v>
      </c>
      <c r="N10" s="602">
        <v>42328</v>
      </c>
      <c r="O10" s="481">
        <v>42353</v>
      </c>
      <c r="P10" s="1097">
        <v>0</v>
      </c>
      <c r="Q10" s="1098">
        <v>0</v>
      </c>
      <c r="R10" s="1099" t="s">
        <v>2039</v>
      </c>
    </row>
    <row r="11" spans="2:18" ht="80.25" customHeight="1">
      <c r="B11" s="1534"/>
      <c r="C11" s="600">
        <v>3000000</v>
      </c>
      <c r="D11" s="601" t="s">
        <v>2040</v>
      </c>
      <c r="E11" s="1096">
        <v>42094</v>
      </c>
      <c r="F11" s="602">
        <v>42109</v>
      </c>
      <c r="G11" s="602">
        <v>42124</v>
      </c>
      <c r="H11" s="602">
        <v>42153</v>
      </c>
      <c r="I11" s="602">
        <v>42171</v>
      </c>
      <c r="J11" s="602">
        <v>42216</v>
      </c>
      <c r="K11" s="602">
        <v>42244</v>
      </c>
      <c r="L11" s="602">
        <v>42277</v>
      </c>
      <c r="M11" s="602">
        <v>42307</v>
      </c>
      <c r="N11" s="602">
        <v>42328</v>
      </c>
      <c r="O11" s="481">
        <v>42353</v>
      </c>
      <c r="P11" s="1097">
        <v>0</v>
      </c>
      <c r="Q11" s="1098">
        <v>0</v>
      </c>
      <c r="R11" s="1099" t="s">
        <v>2041</v>
      </c>
    </row>
    <row r="12" spans="2:18" ht="90">
      <c r="B12" s="1535"/>
      <c r="C12" s="600">
        <v>3891800000</v>
      </c>
      <c r="D12" s="106" t="s">
        <v>2042</v>
      </c>
      <c r="E12" s="1096">
        <v>42094</v>
      </c>
      <c r="F12" s="602">
        <v>42109</v>
      </c>
      <c r="G12" s="602">
        <v>42124</v>
      </c>
      <c r="H12" s="602">
        <v>42153</v>
      </c>
      <c r="I12" s="602">
        <v>42171</v>
      </c>
      <c r="J12" s="602">
        <v>42216</v>
      </c>
      <c r="K12" s="602">
        <v>42244</v>
      </c>
      <c r="L12" s="602">
        <v>42277</v>
      </c>
      <c r="M12" s="602">
        <v>42307</v>
      </c>
      <c r="N12" s="602">
        <v>42328</v>
      </c>
      <c r="O12" s="481">
        <v>42353</v>
      </c>
      <c r="P12" s="1097">
        <v>0</v>
      </c>
      <c r="Q12" s="1098">
        <v>1</v>
      </c>
      <c r="R12" s="1099" t="s">
        <v>2043</v>
      </c>
    </row>
    <row r="13" spans="2:18" ht="30" customHeight="1">
      <c r="B13" s="1533" t="s">
        <v>1237</v>
      </c>
      <c r="C13" s="600">
        <v>55200000</v>
      </c>
      <c r="D13" s="476" t="s">
        <v>2044</v>
      </c>
      <c r="E13" s="109" t="s">
        <v>677</v>
      </c>
      <c r="F13" s="109" t="s">
        <v>677</v>
      </c>
      <c r="G13" s="109" t="s">
        <v>677</v>
      </c>
      <c r="H13" s="109" t="s">
        <v>677</v>
      </c>
      <c r="I13" s="546">
        <v>42034</v>
      </c>
      <c r="J13" s="109" t="s">
        <v>677</v>
      </c>
      <c r="K13" s="109" t="s">
        <v>677</v>
      </c>
      <c r="L13" s="109" t="s">
        <v>677</v>
      </c>
      <c r="M13" s="546">
        <v>42058</v>
      </c>
      <c r="N13" s="109" t="s">
        <v>677</v>
      </c>
      <c r="O13" s="106"/>
      <c r="P13" s="1097">
        <v>0</v>
      </c>
      <c r="Q13" s="1098">
        <v>1</v>
      </c>
      <c r="R13" s="1099" t="s">
        <v>2045</v>
      </c>
    </row>
    <row r="14" spans="2:18" ht="75">
      <c r="B14" s="1534"/>
      <c r="C14" s="600">
        <v>50000000</v>
      </c>
      <c r="D14" s="476" t="s">
        <v>2046</v>
      </c>
      <c r="E14" s="109" t="s">
        <v>677</v>
      </c>
      <c r="F14" s="109" t="s">
        <v>677</v>
      </c>
      <c r="G14" s="109" t="s">
        <v>677</v>
      </c>
      <c r="H14" s="109" t="s">
        <v>677</v>
      </c>
      <c r="I14" s="546">
        <v>42178</v>
      </c>
      <c r="J14" s="109" t="s">
        <v>677</v>
      </c>
      <c r="K14" s="109" t="s">
        <v>677</v>
      </c>
      <c r="L14" s="109" t="s">
        <v>677</v>
      </c>
      <c r="M14" s="546">
        <v>42200</v>
      </c>
      <c r="N14" s="109" t="s">
        <v>677</v>
      </c>
      <c r="O14" s="106"/>
      <c r="P14" s="1097">
        <v>0</v>
      </c>
      <c r="Q14" s="1098">
        <v>1</v>
      </c>
      <c r="R14" s="1099" t="s">
        <v>2047</v>
      </c>
    </row>
    <row r="15" spans="2:18">
      <c r="B15" s="106"/>
      <c r="C15" s="477"/>
      <c r="D15" s="106"/>
      <c r="E15" s="106"/>
      <c r="F15" s="106"/>
      <c r="G15" s="106"/>
      <c r="H15" s="106"/>
      <c r="I15" s="106"/>
      <c r="J15" s="106"/>
      <c r="K15" s="106"/>
      <c r="L15" s="106"/>
      <c r="M15" s="106"/>
      <c r="N15" s="106"/>
      <c r="O15" s="106"/>
      <c r="P15" s="106"/>
      <c r="Q15" s="120"/>
      <c r="R15" s="121"/>
    </row>
    <row r="16" spans="2:18">
      <c r="B16" s="106"/>
      <c r="C16" s="477"/>
      <c r="D16" s="106"/>
      <c r="E16" s="106"/>
      <c r="F16" s="106"/>
      <c r="G16" s="106"/>
      <c r="H16" s="106"/>
      <c r="I16" s="106"/>
      <c r="J16" s="106"/>
      <c r="K16" s="106"/>
      <c r="L16" s="106"/>
      <c r="M16" s="106"/>
      <c r="N16" s="106"/>
      <c r="O16" s="106"/>
      <c r="P16" s="106"/>
      <c r="Q16" s="120"/>
      <c r="R16" s="121"/>
    </row>
    <row r="17" spans="2:18">
      <c r="B17" s="106"/>
      <c r="C17" s="477"/>
      <c r="D17" s="106"/>
      <c r="E17" s="106"/>
      <c r="F17" s="106"/>
      <c r="G17" s="106"/>
      <c r="H17" s="106"/>
      <c r="I17" s="106"/>
      <c r="J17" s="106"/>
      <c r="K17" s="106"/>
      <c r="L17" s="106"/>
      <c r="M17" s="106"/>
      <c r="N17" s="106"/>
      <c r="O17" s="106"/>
      <c r="P17" s="106"/>
      <c r="Q17" s="120"/>
      <c r="R17" s="121"/>
    </row>
    <row r="18" spans="2:18">
      <c r="B18" s="106"/>
      <c r="C18" s="477"/>
      <c r="D18" s="106"/>
      <c r="E18" s="106"/>
      <c r="F18" s="106"/>
      <c r="G18" s="106"/>
      <c r="H18" s="106"/>
      <c r="I18" s="106"/>
      <c r="J18" s="106"/>
      <c r="K18" s="106"/>
      <c r="L18" s="106"/>
      <c r="M18" s="106"/>
      <c r="N18" s="106"/>
      <c r="O18" s="106"/>
      <c r="P18" s="106"/>
      <c r="Q18" s="120"/>
      <c r="R18" s="121"/>
    </row>
    <row r="19" spans="2:18">
      <c r="B19" s="106"/>
      <c r="C19" s="477"/>
      <c r="D19" s="106"/>
      <c r="E19" s="106"/>
      <c r="F19" s="106"/>
      <c r="G19" s="106"/>
      <c r="H19" s="106"/>
      <c r="I19" s="106"/>
      <c r="J19" s="106"/>
      <c r="K19" s="106"/>
      <c r="L19" s="106"/>
      <c r="M19" s="106"/>
      <c r="N19" s="106"/>
      <c r="O19" s="106"/>
      <c r="P19" s="106"/>
      <c r="Q19" s="120"/>
      <c r="R19" s="121"/>
    </row>
    <row r="20" spans="2:18">
      <c r="B20" s="106"/>
      <c r="C20" s="477"/>
      <c r="D20" s="106"/>
      <c r="E20" s="106"/>
      <c r="F20" s="106"/>
      <c r="G20" s="106"/>
      <c r="H20" s="106"/>
      <c r="I20" s="106"/>
      <c r="J20" s="106"/>
      <c r="K20" s="106"/>
      <c r="L20" s="106"/>
      <c r="M20" s="106"/>
      <c r="N20" s="106"/>
      <c r="O20" s="106"/>
      <c r="P20" s="106"/>
      <c r="Q20" s="120"/>
      <c r="R20" s="121"/>
    </row>
    <row r="22" spans="2:18">
      <c r="B22" s="555"/>
    </row>
    <row r="36" spans="8:9">
      <c r="H36" s="603"/>
      <c r="I36" s="604"/>
    </row>
  </sheetData>
  <mergeCells count="20">
    <mergeCell ref="J6:J7"/>
    <mergeCell ref="K6:K7"/>
    <mergeCell ref="L6:L7"/>
    <mergeCell ref="M6:M7"/>
    <mergeCell ref="N6:N7"/>
    <mergeCell ref="O6:P6"/>
    <mergeCell ref="Q6:R6"/>
    <mergeCell ref="O7:P7"/>
    <mergeCell ref="Q7:Q8"/>
    <mergeCell ref="R7:R8"/>
    <mergeCell ref="G6:G7"/>
    <mergeCell ref="H6:H7"/>
    <mergeCell ref="I6:I7"/>
    <mergeCell ref="B9:B12"/>
    <mergeCell ref="B13:B14"/>
    <mergeCell ref="B6:B7"/>
    <mergeCell ref="C6:C7"/>
    <mergeCell ref="D6:D7"/>
    <mergeCell ref="E6:E7"/>
    <mergeCell ref="F6:F7"/>
  </mergeCells>
  <dataValidations count="3">
    <dataValidation allowBlank="1" showErrorMessage="1" sqref="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F983043:H983043 F917507:H917507 F851971:H851971 F786435:H786435 F720899:H720899 F655363:H655363 F589827:H589827 F524291:H524291 F458755:H458755 F393219:H393219 F327683:H327683 F262147:H262147 F196611:H196611 F131075:H131075 F65539:H65539"/>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T65540:IT65544 SP65540:SP65544 ACL65540:ACL65544 AMH65540:AMH65544 AWD65540:AWD65544 BFZ65540:BFZ65544 BPV65540:BPV65544 BZR65540:BZR65544 CJN65540:CJN65544 CTJ65540:CTJ65544 DDF65540:DDF65544 DNB65540:DNB65544 DWX65540:DWX65544 EGT65540:EGT65544 EQP65540:EQP65544 FAL65540:FAL65544 FKH65540:FKH65544 FUD65540:FUD65544 GDZ65540:GDZ65544 GNV65540:GNV65544 GXR65540:GXR65544 HHN65540:HHN65544 HRJ65540:HRJ65544 IBF65540:IBF65544 ILB65540:ILB65544 IUX65540:IUX65544 JET65540:JET65544 JOP65540:JOP65544 JYL65540:JYL65544 KIH65540:KIH65544 KSD65540:KSD65544 LBZ65540:LBZ65544 LLV65540:LLV65544 LVR65540:LVR65544 MFN65540:MFN65544 MPJ65540:MPJ65544 MZF65540:MZF65544 NJB65540:NJB65544 NSX65540:NSX65544 OCT65540:OCT65544 OMP65540:OMP65544 OWL65540:OWL65544 PGH65540:PGH65544 PQD65540:PQD65544 PZZ65540:PZZ65544 QJV65540:QJV65544 QTR65540:QTR65544 RDN65540:RDN65544 RNJ65540:RNJ65544 RXF65540:RXF65544 SHB65540:SHB65544 SQX65540:SQX65544 TAT65540:TAT65544 TKP65540:TKP65544 TUL65540:TUL65544 UEH65540:UEH65544 UOD65540:UOD65544 UXZ65540:UXZ65544 VHV65540:VHV65544 VRR65540:VRR65544 WBN65540:WBN65544 WLJ65540:WLJ65544 WVF65540:WVF65544 IT131076:IT131080 SP131076:SP131080 ACL131076:ACL131080 AMH131076:AMH131080 AWD131076:AWD131080 BFZ131076:BFZ131080 BPV131076:BPV131080 BZR131076:BZR131080 CJN131076:CJN131080 CTJ131076:CTJ131080 DDF131076:DDF131080 DNB131076:DNB131080 DWX131076:DWX131080 EGT131076:EGT131080 EQP131076:EQP131080 FAL131076:FAL131080 FKH131076:FKH131080 FUD131076:FUD131080 GDZ131076:GDZ131080 GNV131076:GNV131080 GXR131076:GXR131080 HHN131076:HHN131080 HRJ131076:HRJ131080 IBF131076:IBF131080 ILB131076:ILB131080 IUX131076:IUX131080 JET131076:JET131080 JOP131076:JOP131080 JYL131076:JYL131080 KIH131076:KIH131080 KSD131076:KSD131080 LBZ131076:LBZ131080 LLV131076:LLV131080 LVR131076:LVR131080 MFN131076:MFN131080 MPJ131076:MPJ131080 MZF131076:MZF131080 NJB131076:NJB131080 NSX131076:NSX131080 OCT131076:OCT131080 OMP131076:OMP131080 OWL131076:OWL131080 PGH131076:PGH131080 PQD131076:PQD131080 PZZ131076:PZZ131080 QJV131076:QJV131080 QTR131076:QTR131080 RDN131076:RDN131080 RNJ131076:RNJ131080 RXF131076:RXF131080 SHB131076:SHB131080 SQX131076:SQX131080 TAT131076:TAT131080 TKP131076:TKP131080 TUL131076:TUL131080 UEH131076:UEH131080 UOD131076:UOD131080 UXZ131076:UXZ131080 VHV131076:VHV131080 VRR131076:VRR131080 WBN131076:WBN131080 WLJ131076:WLJ131080 WVF131076:WVF131080 IT196612:IT196616 SP196612:SP196616 ACL196612:ACL196616 AMH196612:AMH196616 AWD196612:AWD196616 BFZ196612:BFZ196616 BPV196612:BPV196616 BZR196612:BZR196616 CJN196612:CJN196616 CTJ196612:CTJ196616 DDF196612:DDF196616 DNB196612:DNB196616 DWX196612:DWX196616 EGT196612:EGT196616 EQP196612:EQP196616 FAL196612:FAL196616 FKH196612:FKH196616 FUD196612:FUD196616 GDZ196612:GDZ196616 GNV196612:GNV196616 GXR196612:GXR196616 HHN196612:HHN196616 HRJ196612:HRJ196616 IBF196612:IBF196616 ILB196612:ILB196616 IUX196612:IUX196616 JET196612:JET196616 JOP196612:JOP196616 JYL196612:JYL196616 KIH196612:KIH196616 KSD196612:KSD196616 LBZ196612:LBZ196616 LLV196612:LLV196616 LVR196612:LVR196616 MFN196612:MFN196616 MPJ196612:MPJ196616 MZF196612:MZF196616 NJB196612:NJB196616 NSX196612:NSX196616 OCT196612:OCT196616 OMP196612:OMP196616 OWL196612:OWL196616 PGH196612:PGH196616 PQD196612:PQD196616 PZZ196612:PZZ196616 QJV196612:QJV196616 QTR196612:QTR196616 RDN196612:RDN196616 RNJ196612:RNJ196616 RXF196612:RXF196616 SHB196612:SHB196616 SQX196612:SQX196616 TAT196612:TAT196616 TKP196612:TKP196616 TUL196612:TUL196616 UEH196612:UEH196616 UOD196612:UOD196616 UXZ196612:UXZ196616 VHV196612:VHV196616 VRR196612:VRR196616 WBN196612:WBN196616 WLJ196612:WLJ196616 WVF196612:WVF196616 IT262148:IT262152 SP262148:SP262152 ACL262148:ACL262152 AMH262148:AMH262152 AWD262148:AWD262152 BFZ262148:BFZ262152 BPV262148:BPV262152 BZR262148:BZR262152 CJN262148:CJN262152 CTJ262148:CTJ262152 DDF262148:DDF262152 DNB262148:DNB262152 DWX262148:DWX262152 EGT262148:EGT262152 EQP262148:EQP262152 FAL262148:FAL262152 FKH262148:FKH262152 FUD262148:FUD262152 GDZ262148:GDZ262152 GNV262148:GNV262152 GXR262148:GXR262152 HHN262148:HHN262152 HRJ262148:HRJ262152 IBF262148:IBF262152 ILB262148:ILB262152 IUX262148:IUX262152 JET262148:JET262152 JOP262148:JOP262152 JYL262148:JYL262152 KIH262148:KIH262152 KSD262148:KSD262152 LBZ262148:LBZ262152 LLV262148:LLV262152 LVR262148:LVR262152 MFN262148:MFN262152 MPJ262148:MPJ262152 MZF262148:MZF262152 NJB262148:NJB262152 NSX262148:NSX262152 OCT262148:OCT262152 OMP262148:OMP262152 OWL262148:OWL262152 PGH262148:PGH262152 PQD262148:PQD262152 PZZ262148:PZZ262152 QJV262148:QJV262152 QTR262148:QTR262152 RDN262148:RDN262152 RNJ262148:RNJ262152 RXF262148:RXF262152 SHB262148:SHB262152 SQX262148:SQX262152 TAT262148:TAT262152 TKP262148:TKP262152 TUL262148:TUL262152 UEH262148:UEH262152 UOD262148:UOD262152 UXZ262148:UXZ262152 VHV262148:VHV262152 VRR262148:VRR262152 WBN262148:WBN262152 WLJ262148:WLJ262152 WVF262148:WVF262152 IT327684:IT327688 SP327684:SP327688 ACL327684:ACL327688 AMH327684:AMH327688 AWD327684:AWD327688 BFZ327684:BFZ327688 BPV327684:BPV327688 BZR327684:BZR327688 CJN327684:CJN327688 CTJ327684:CTJ327688 DDF327684:DDF327688 DNB327684:DNB327688 DWX327684:DWX327688 EGT327684:EGT327688 EQP327684:EQP327688 FAL327684:FAL327688 FKH327684:FKH327688 FUD327684:FUD327688 GDZ327684:GDZ327688 GNV327684:GNV327688 GXR327684:GXR327688 HHN327684:HHN327688 HRJ327684:HRJ327688 IBF327684:IBF327688 ILB327684:ILB327688 IUX327684:IUX327688 JET327684:JET327688 JOP327684:JOP327688 JYL327684:JYL327688 KIH327684:KIH327688 KSD327684:KSD327688 LBZ327684:LBZ327688 LLV327684:LLV327688 LVR327684:LVR327688 MFN327684:MFN327688 MPJ327684:MPJ327688 MZF327684:MZF327688 NJB327684:NJB327688 NSX327684:NSX327688 OCT327684:OCT327688 OMP327684:OMP327688 OWL327684:OWL327688 PGH327684:PGH327688 PQD327684:PQD327688 PZZ327684:PZZ327688 QJV327684:QJV327688 QTR327684:QTR327688 RDN327684:RDN327688 RNJ327684:RNJ327688 RXF327684:RXF327688 SHB327684:SHB327688 SQX327684:SQX327688 TAT327684:TAT327688 TKP327684:TKP327688 TUL327684:TUL327688 UEH327684:UEH327688 UOD327684:UOD327688 UXZ327684:UXZ327688 VHV327684:VHV327688 VRR327684:VRR327688 WBN327684:WBN327688 WLJ327684:WLJ327688 WVF327684:WVF327688 IT393220:IT393224 SP393220:SP393224 ACL393220:ACL393224 AMH393220:AMH393224 AWD393220:AWD393224 BFZ393220:BFZ393224 BPV393220:BPV393224 BZR393220:BZR393224 CJN393220:CJN393224 CTJ393220:CTJ393224 DDF393220:DDF393224 DNB393220:DNB393224 DWX393220:DWX393224 EGT393220:EGT393224 EQP393220:EQP393224 FAL393220:FAL393224 FKH393220:FKH393224 FUD393220:FUD393224 GDZ393220:GDZ393224 GNV393220:GNV393224 GXR393220:GXR393224 HHN393220:HHN393224 HRJ393220:HRJ393224 IBF393220:IBF393224 ILB393220:ILB393224 IUX393220:IUX393224 JET393220:JET393224 JOP393220:JOP393224 JYL393220:JYL393224 KIH393220:KIH393224 KSD393220:KSD393224 LBZ393220:LBZ393224 LLV393220:LLV393224 LVR393220:LVR393224 MFN393220:MFN393224 MPJ393220:MPJ393224 MZF393220:MZF393224 NJB393220:NJB393224 NSX393220:NSX393224 OCT393220:OCT393224 OMP393220:OMP393224 OWL393220:OWL393224 PGH393220:PGH393224 PQD393220:PQD393224 PZZ393220:PZZ393224 QJV393220:QJV393224 QTR393220:QTR393224 RDN393220:RDN393224 RNJ393220:RNJ393224 RXF393220:RXF393224 SHB393220:SHB393224 SQX393220:SQX393224 TAT393220:TAT393224 TKP393220:TKP393224 TUL393220:TUL393224 UEH393220:UEH393224 UOD393220:UOD393224 UXZ393220:UXZ393224 VHV393220:VHV393224 VRR393220:VRR393224 WBN393220:WBN393224 WLJ393220:WLJ393224 WVF393220:WVF393224 IT458756:IT458760 SP458756:SP458760 ACL458756:ACL458760 AMH458756:AMH458760 AWD458756:AWD458760 BFZ458756:BFZ458760 BPV458756:BPV458760 BZR458756:BZR458760 CJN458756:CJN458760 CTJ458756:CTJ458760 DDF458756:DDF458760 DNB458756:DNB458760 DWX458756:DWX458760 EGT458756:EGT458760 EQP458756:EQP458760 FAL458756:FAL458760 FKH458756:FKH458760 FUD458756:FUD458760 GDZ458756:GDZ458760 GNV458756:GNV458760 GXR458756:GXR458760 HHN458756:HHN458760 HRJ458756:HRJ458760 IBF458756:IBF458760 ILB458756:ILB458760 IUX458756:IUX458760 JET458756:JET458760 JOP458756:JOP458760 JYL458756:JYL458760 KIH458756:KIH458760 KSD458756:KSD458760 LBZ458756:LBZ458760 LLV458756:LLV458760 LVR458756:LVR458760 MFN458756:MFN458760 MPJ458756:MPJ458760 MZF458756:MZF458760 NJB458756:NJB458760 NSX458756:NSX458760 OCT458756:OCT458760 OMP458756:OMP458760 OWL458756:OWL458760 PGH458756:PGH458760 PQD458756:PQD458760 PZZ458756:PZZ458760 QJV458756:QJV458760 QTR458756:QTR458760 RDN458756:RDN458760 RNJ458756:RNJ458760 RXF458756:RXF458760 SHB458756:SHB458760 SQX458756:SQX458760 TAT458756:TAT458760 TKP458756:TKP458760 TUL458756:TUL458760 UEH458756:UEH458760 UOD458756:UOD458760 UXZ458756:UXZ458760 VHV458756:VHV458760 VRR458756:VRR458760 WBN458756:WBN458760 WLJ458756:WLJ458760 WVF458756:WVF458760 IT524292:IT524296 SP524292:SP524296 ACL524292:ACL524296 AMH524292:AMH524296 AWD524292:AWD524296 BFZ524292:BFZ524296 BPV524292:BPV524296 BZR524292:BZR524296 CJN524292:CJN524296 CTJ524292:CTJ524296 DDF524292:DDF524296 DNB524292:DNB524296 DWX524292:DWX524296 EGT524292:EGT524296 EQP524292:EQP524296 FAL524292:FAL524296 FKH524292:FKH524296 FUD524292:FUD524296 GDZ524292:GDZ524296 GNV524292:GNV524296 GXR524292:GXR524296 HHN524292:HHN524296 HRJ524292:HRJ524296 IBF524292:IBF524296 ILB524292:ILB524296 IUX524292:IUX524296 JET524292:JET524296 JOP524292:JOP524296 JYL524292:JYL524296 KIH524292:KIH524296 KSD524292:KSD524296 LBZ524292:LBZ524296 LLV524292:LLV524296 LVR524292:LVR524296 MFN524292:MFN524296 MPJ524292:MPJ524296 MZF524292:MZF524296 NJB524292:NJB524296 NSX524292:NSX524296 OCT524292:OCT524296 OMP524292:OMP524296 OWL524292:OWL524296 PGH524292:PGH524296 PQD524292:PQD524296 PZZ524292:PZZ524296 QJV524292:QJV524296 QTR524292:QTR524296 RDN524292:RDN524296 RNJ524292:RNJ524296 RXF524292:RXF524296 SHB524292:SHB524296 SQX524292:SQX524296 TAT524292:TAT524296 TKP524292:TKP524296 TUL524292:TUL524296 UEH524292:UEH524296 UOD524292:UOD524296 UXZ524292:UXZ524296 VHV524292:VHV524296 VRR524292:VRR524296 WBN524292:WBN524296 WLJ524292:WLJ524296 WVF524292:WVF524296 IT589828:IT589832 SP589828:SP589832 ACL589828:ACL589832 AMH589828:AMH589832 AWD589828:AWD589832 BFZ589828:BFZ589832 BPV589828:BPV589832 BZR589828:BZR589832 CJN589828:CJN589832 CTJ589828:CTJ589832 DDF589828:DDF589832 DNB589828:DNB589832 DWX589828:DWX589832 EGT589828:EGT589832 EQP589828:EQP589832 FAL589828:FAL589832 FKH589828:FKH589832 FUD589828:FUD589832 GDZ589828:GDZ589832 GNV589828:GNV589832 GXR589828:GXR589832 HHN589828:HHN589832 HRJ589828:HRJ589832 IBF589828:IBF589832 ILB589828:ILB589832 IUX589828:IUX589832 JET589828:JET589832 JOP589828:JOP589832 JYL589828:JYL589832 KIH589828:KIH589832 KSD589828:KSD589832 LBZ589828:LBZ589832 LLV589828:LLV589832 LVR589828:LVR589832 MFN589828:MFN589832 MPJ589828:MPJ589832 MZF589828:MZF589832 NJB589828:NJB589832 NSX589828:NSX589832 OCT589828:OCT589832 OMP589828:OMP589832 OWL589828:OWL589832 PGH589828:PGH589832 PQD589828:PQD589832 PZZ589828:PZZ589832 QJV589828:QJV589832 QTR589828:QTR589832 RDN589828:RDN589832 RNJ589828:RNJ589832 RXF589828:RXF589832 SHB589828:SHB589832 SQX589828:SQX589832 TAT589828:TAT589832 TKP589828:TKP589832 TUL589828:TUL589832 UEH589828:UEH589832 UOD589828:UOD589832 UXZ589828:UXZ589832 VHV589828:VHV589832 VRR589828:VRR589832 WBN589828:WBN589832 WLJ589828:WLJ589832 WVF589828:WVF589832 IT655364:IT655368 SP655364:SP655368 ACL655364:ACL655368 AMH655364:AMH655368 AWD655364:AWD655368 BFZ655364:BFZ655368 BPV655364:BPV655368 BZR655364:BZR655368 CJN655364:CJN655368 CTJ655364:CTJ655368 DDF655364:DDF655368 DNB655364:DNB655368 DWX655364:DWX655368 EGT655364:EGT655368 EQP655364:EQP655368 FAL655364:FAL655368 FKH655364:FKH655368 FUD655364:FUD655368 GDZ655364:GDZ655368 GNV655364:GNV655368 GXR655364:GXR655368 HHN655364:HHN655368 HRJ655364:HRJ655368 IBF655364:IBF655368 ILB655364:ILB655368 IUX655364:IUX655368 JET655364:JET655368 JOP655364:JOP655368 JYL655364:JYL655368 KIH655364:KIH655368 KSD655364:KSD655368 LBZ655364:LBZ655368 LLV655364:LLV655368 LVR655364:LVR655368 MFN655364:MFN655368 MPJ655364:MPJ655368 MZF655364:MZF655368 NJB655364:NJB655368 NSX655364:NSX655368 OCT655364:OCT655368 OMP655364:OMP655368 OWL655364:OWL655368 PGH655364:PGH655368 PQD655364:PQD655368 PZZ655364:PZZ655368 QJV655364:QJV655368 QTR655364:QTR655368 RDN655364:RDN655368 RNJ655364:RNJ655368 RXF655364:RXF655368 SHB655364:SHB655368 SQX655364:SQX655368 TAT655364:TAT655368 TKP655364:TKP655368 TUL655364:TUL655368 UEH655364:UEH655368 UOD655364:UOD655368 UXZ655364:UXZ655368 VHV655364:VHV655368 VRR655364:VRR655368 WBN655364:WBN655368 WLJ655364:WLJ655368 WVF655364:WVF655368 IT720900:IT720904 SP720900:SP720904 ACL720900:ACL720904 AMH720900:AMH720904 AWD720900:AWD720904 BFZ720900:BFZ720904 BPV720900:BPV720904 BZR720900:BZR720904 CJN720900:CJN720904 CTJ720900:CTJ720904 DDF720900:DDF720904 DNB720900:DNB720904 DWX720900:DWX720904 EGT720900:EGT720904 EQP720900:EQP720904 FAL720900:FAL720904 FKH720900:FKH720904 FUD720900:FUD720904 GDZ720900:GDZ720904 GNV720900:GNV720904 GXR720900:GXR720904 HHN720900:HHN720904 HRJ720900:HRJ720904 IBF720900:IBF720904 ILB720900:ILB720904 IUX720900:IUX720904 JET720900:JET720904 JOP720900:JOP720904 JYL720900:JYL720904 KIH720900:KIH720904 KSD720900:KSD720904 LBZ720900:LBZ720904 LLV720900:LLV720904 LVR720900:LVR720904 MFN720900:MFN720904 MPJ720900:MPJ720904 MZF720900:MZF720904 NJB720900:NJB720904 NSX720900:NSX720904 OCT720900:OCT720904 OMP720900:OMP720904 OWL720900:OWL720904 PGH720900:PGH720904 PQD720900:PQD720904 PZZ720900:PZZ720904 QJV720900:QJV720904 QTR720900:QTR720904 RDN720900:RDN720904 RNJ720900:RNJ720904 RXF720900:RXF720904 SHB720900:SHB720904 SQX720900:SQX720904 TAT720900:TAT720904 TKP720900:TKP720904 TUL720900:TUL720904 UEH720900:UEH720904 UOD720900:UOD720904 UXZ720900:UXZ720904 VHV720900:VHV720904 VRR720900:VRR720904 WBN720900:WBN720904 WLJ720900:WLJ720904 WVF720900:WVF720904 IT786436:IT786440 SP786436:SP786440 ACL786436:ACL786440 AMH786436:AMH786440 AWD786436:AWD786440 BFZ786436:BFZ786440 BPV786436:BPV786440 BZR786436:BZR786440 CJN786436:CJN786440 CTJ786436:CTJ786440 DDF786436:DDF786440 DNB786436:DNB786440 DWX786436:DWX786440 EGT786436:EGT786440 EQP786436:EQP786440 FAL786436:FAL786440 FKH786436:FKH786440 FUD786436:FUD786440 GDZ786436:GDZ786440 GNV786436:GNV786440 GXR786436:GXR786440 HHN786436:HHN786440 HRJ786436:HRJ786440 IBF786436:IBF786440 ILB786436:ILB786440 IUX786436:IUX786440 JET786436:JET786440 JOP786436:JOP786440 JYL786436:JYL786440 KIH786436:KIH786440 KSD786436:KSD786440 LBZ786436:LBZ786440 LLV786436:LLV786440 LVR786436:LVR786440 MFN786436:MFN786440 MPJ786436:MPJ786440 MZF786436:MZF786440 NJB786436:NJB786440 NSX786436:NSX786440 OCT786436:OCT786440 OMP786436:OMP786440 OWL786436:OWL786440 PGH786436:PGH786440 PQD786436:PQD786440 PZZ786436:PZZ786440 QJV786436:QJV786440 QTR786436:QTR786440 RDN786436:RDN786440 RNJ786436:RNJ786440 RXF786436:RXF786440 SHB786436:SHB786440 SQX786436:SQX786440 TAT786436:TAT786440 TKP786436:TKP786440 TUL786436:TUL786440 UEH786436:UEH786440 UOD786436:UOD786440 UXZ786436:UXZ786440 VHV786436:VHV786440 VRR786436:VRR786440 WBN786436:WBN786440 WLJ786436:WLJ786440 WVF786436:WVF786440 IT851972:IT851976 SP851972:SP851976 ACL851972:ACL851976 AMH851972:AMH851976 AWD851972:AWD851976 BFZ851972:BFZ851976 BPV851972:BPV851976 BZR851972:BZR851976 CJN851972:CJN851976 CTJ851972:CTJ851976 DDF851972:DDF851976 DNB851972:DNB851976 DWX851972:DWX851976 EGT851972:EGT851976 EQP851972:EQP851976 FAL851972:FAL851976 FKH851972:FKH851976 FUD851972:FUD851976 GDZ851972:GDZ851976 GNV851972:GNV851976 GXR851972:GXR851976 HHN851972:HHN851976 HRJ851972:HRJ851976 IBF851972:IBF851976 ILB851972:ILB851976 IUX851972:IUX851976 JET851972:JET851976 JOP851972:JOP851976 JYL851972:JYL851976 KIH851972:KIH851976 KSD851972:KSD851976 LBZ851972:LBZ851976 LLV851972:LLV851976 LVR851972:LVR851976 MFN851972:MFN851976 MPJ851972:MPJ851976 MZF851972:MZF851976 NJB851972:NJB851976 NSX851972:NSX851976 OCT851972:OCT851976 OMP851972:OMP851976 OWL851972:OWL851976 PGH851972:PGH851976 PQD851972:PQD851976 PZZ851972:PZZ851976 QJV851972:QJV851976 QTR851972:QTR851976 RDN851972:RDN851976 RNJ851972:RNJ851976 RXF851972:RXF851976 SHB851972:SHB851976 SQX851972:SQX851976 TAT851972:TAT851976 TKP851972:TKP851976 TUL851972:TUL851976 UEH851972:UEH851976 UOD851972:UOD851976 UXZ851972:UXZ851976 VHV851972:VHV851976 VRR851972:VRR851976 WBN851972:WBN851976 WLJ851972:WLJ851976 WVF851972:WVF851976 IT917508:IT917512 SP917508:SP917512 ACL917508:ACL917512 AMH917508:AMH917512 AWD917508:AWD917512 BFZ917508:BFZ917512 BPV917508:BPV917512 BZR917508:BZR917512 CJN917508:CJN917512 CTJ917508:CTJ917512 DDF917508:DDF917512 DNB917508:DNB917512 DWX917508:DWX917512 EGT917508:EGT917512 EQP917508:EQP917512 FAL917508:FAL917512 FKH917508:FKH917512 FUD917508:FUD917512 GDZ917508:GDZ917512 GNV917508:GNV917512 GXR917508:GXR917512 HHN917508:HHN917512 HRJ917508:HRJ917512 IBF917508:IBF917512 ILB917508:ILB917512 IUX917508:IUX917512 JET917508:JET917512 JOP917508:JOP917512 JYL917508:JYL917512 KIH917508:KIH917512 KSD917508:KSD917512 LBZ917508:LBZ917512 LLV917508:LLV917512 LVR917508:LVR917512 MFN917508:MFN917512 MPJ917508:MPJ917512 MZF917508:MZF917512 NJB917508:NJB917512 NSX917508:NSX917512 OCT917508:OCT917512 OMP917508:OMP917512 OWL917508:OWL917512 PGH917508:PGH917512 PQD917508:PQD917512 PZZ917508:PZZ917512 QJV917508:QJV917512 QTR917508:QTR917512 RDN917508:RDN917512 RNJ917508:RNJ917512 RXF917508:RXF917512 SHB917508:SHB917512 SQX917508:SQX917512 TAT917508:TAT917512 TKP917508:TKP917512 TUL917508:TUL917512 UEH917508:UEH917512 UOD917508:UOD917512 UXZ917508:UXZ917512 VHV917508:VHV917512 VRR917508:VRR917512 WBN917508:WBN917512 WLJ917508:WLJ917512 WVF917508:WVF917512 IT983044:IT983048 SP983044:SP983048 ACL983044:ACL983048 AMH983044:AMH983048 AWD983044:AWD983048 BFZ983044:BFZ983048 BPV983044:BPV983048 BZR983044:BZR983048 CJN983044:CJN983048 CTJ983044:CTJ983048 DDF983044:DDF983048 DNB983044:DNB983048 DWX983044:DWX983048 EGT983044:EGT983048 EQP983044:EQP983048 FAL983044:FAL983048 FKH983044:FKH983048 FUD983044:FUD983048 GDZ983044:GDZ983048 GNV983044:GNV983048 GXR983044:GXR983048 HHN983044:HHN983048 HRJ983044:HRJ983048 IBF983044:IBF983048 ILB983044:ILB983048 IUX983044:IUX983048 JET983044:JET983048 JOP983044:JOP983048 JYL983044:JYL983048 KIH983044:KIH983048 KSD983044:KSD983048 LBZ983044:LBZ983048 LLV983044:LLV983048 LVR983044:LVR983048 MFN983044:MFN983048 MPJ983044:MPJ983048 MZF983044:MZF983048 NJB983044:NJB983048 NSX983044:NSX983048 OCT983044:OCT983048 OMP983044:OMP983048 OWL983044:OWL983048 PGH983044:PGH983048 PQD983044:PQD983048 PZZ983044:PZZ983048 QJV983044:QJV983048 QTR983044:QTR983048 RDN983044:RDN983048 RNJ983044:RNJ983048 RXF983044:RXF983048 SHB983044:SHB983048 SQX983044:SQX983048 TAT983044:TAT983048 TKP983044:TKP983048 TUL983044:TUL983048 UEH983044:UEH983048 UOD983044:UOD983048 UXZ983044:UXZ983048 VHV983044:VHV983048 VRR983044:VRR983048 WBN983044:WBN983048 WLJ983044:WLJ983048 WVF983044:WVF983048 F983044:H983048 F917508:H917512 F851972:H851976 F786436:H786440 F720900:H720904 F655364:H655368 F589828:H589832 F524292:H524296 F458756:H458760 F393220:H393224 F327684:H327688 F262148:H262152 F196612:H196616 F131076:H131080 F65540:H65544"/>
    <dataValidation type="whole" allowBlank="1" showInputMessage="1" showErrorMessage="1" errorTitle="Valor Asignado" error="Sólo se pueden introducir números en esta celda" promptTitle="Valor Asignado" prompt=" " sqref="C65538:E65544 C131074:E131080 IS65538:IS65544 SO65538:SO65544 ACK65538:ACK65544 AMG65538:AMG65544 AWC65538:AWC65544 BFY65538:BFY65544 BPU65538:BPU65544 BZQ65538:BZQ65544 CJM65538:CJM65544 CTI65538:CTI65544 DDE65538:DDE65544 DNA65538:DNA65544 DWW65538:DWW65544 EGS65538:EGS65544 EQO65538:EQO65544 FAK65538:FAK65544 FKG65538:FKG65544 FUC65538:FUC65544 GDY65538:GDY65544 GNU65538:GNU65544 GXQ65538:GXQ65544 HHM65538:HHM65544 HRI65538:HRI65544 IBE65538:IBE65544 ILA65538:ILA65544 IUW65538:IUW65544 JES65538:JES65544 JOO65538:JOO65544 JYK65538:JYK65544 KIG65538:KIG65544 KSC65538:KSC65544 LBY65538:LBY65544 LLU65538:LLU65544 LVQ65538:LVQ65544 MFM65538:MFM65544 MPI65538:MPI65544 MZE65538:MZE65544 NJA65538:NJA65544 NSW65538:NSW65544 OCS65538:OCS65544 OMO65538:OMO65544 OWK65538:OWK65544 PGG65538:PGG65544 PQC65538:PQC65544 PZY65538:PZY65544 QJU65538:QJU65544 QTQ65538:QTQ65544 RDM65538:RDM65544 RNI65538:RNI65544 RXE65538:RXE65544 SHA65538:SHA65544 SQW65538:SQW65544 TAS65538:TAS65544 TKO65538:TKO65544 TUK65538:TUK65544 UEG65538:UEG65544 UOC65538:UOC65544 UXY65538:UXY65544 VHU65538:VHU65544 VRQ65538:VRQ65544 WBM65538:WBM65544 WLI65538:WLI65544 WVE65538:WVE65544 C196610:E196616 IS131074:IS131080 SO131074:SO131080 ACK131074:ACK131080 AMG131074:AMG131080 AWC131074:AWC131080 BFY131074:BFY131080 BPU131074:BPU131080 BZQ131074:BZQ131080 CJM131074:CJM131080 CTI131074:CTI131080 DDE131074:DDE131080 DNA131074:DNA131080 DWW131074:DWW131080 EGS131074:EGS131080 EQO131074:EQO131080 FAK131074:FAK131080 FKG131074:FKG131080 FUC131074:FUC131080 GDY131074:GDY131080 GNU131074:GNU131080 GXQ131074:GXQ131080 HHM131074:HHM131080 HRI131074:HRI131080 IBE131074:IBE131080 ILA131074:ILA131080 IUW131074:IUW131080 JES131074:JES131080 JOO131074:JOO131080 JYK131074:JYK131080 KIG131074:KIG131080 KSC131074:KSC131080 LBY131074:LBY131080 LLU131074:LLU131080 LVQ131074:LVQ131080 MFM131074:MFM131080 MPI131074:MPI131080 MZE131074:MZE131080 NJA131074:NJA131080 NSW131074:NSW131080 OCS131074:OCS131080 OMO131074:OMO131080 OWK131074:OWK131080 PGG131074:PGG131080 PQC131074:PQC131080 PZY131074:PZY131080 QJU131074:QJU131080 QTQ131074:QTQ131080 RDM131074:RDM131080 RNI131074:RNI131080 RXE131074:RXE131080 SHA131074:SHA131080 SQW131074:SQW131080 TAS131074:TAS131080 TKO131074:TKO131080 TUK131074:TUK131080 UEG131074:UEG131080 UOC131074:UOC131080 UXY131074:UXY131080 VHU131074:VHU131080 VRQ131074:VRQ131080 WBM131074:WBM131080 WLI131074:WLI131080 WVE131074:WVE131080 C262146:E262152 IS196610:IS196616 SO196610:SO196616 ACK196610:ACK196616 AMG196610:AMG196616 AWC196610:AWC196616 BFY196610:BFY196616 BPU196610:BPU196616 BZQ196610:BZQ196616 CJM196610:CJM196616 CTI196610:CTI196616 DDE196610:DDE196616 DNA196610:DNA196616 DWW196610:DWW196616 EGS196610:EGS196616 EQO196610:EQO196616 FAK196610:FAK196616 FKG196610:FKG196616 FUC196610:FUC196616 GDY196610:GDY196616 GNU196610:GNU196616 GXQ196610:GXQ196616 HHM196610:HHM196616 HRI196610:HRI196616 IBE196610:IBE196616 ILA196610:ILA196616 IUW196610:IUW196616 JES196610:JES196616 JOO196610:JOO196616 JYK196610:JYK196616 KIG196610:KIG196616 KSC196610:KSC196616 LBY196610:LBY196616 LLU196610:LLU196616 LVQ196610:LVQ196616 MFM196610:MFM196616 MPI196610:MPI196616 MZE196610:MZE196616 NJA196610:NJA196616 NSW196610:NSW196616 OCS196610:OCS196616 OMO196610:OMO196616 OWK196610:OWK196616 PGG196610:PGG196616 PQC196610:PQC196616 PZY196610:PZY196616 QJU196610:QJU196616 QTQ196610:QTQ196616 RDM196610:RDM196616 RNI196610:RNI196616 RXE196610:RXE196616 SHA196610:SHA196616 SQW196610:SQW196616 TAS196610:TAS196616 TKO196610:TKO196616 TUK196610:TUK196616 UEG196610:UEG196616 UOC196610:UOC196616 UXY196610:UXY196616 VHU196610:VHU196616 VRQ196610:VRQ196616 WBM196610:WBM196616 WLI196610:WLI196616 WVE196610:WVE196616 C327682:E327688 IS262146:IS262152 SO262146:SO262152 ACK262146:ACK262152 AMG262146:AMG262152 AWC262146:AWC262152 BFY262146:BFY262152 BPU262146:BPU262152 BZQ262146:BZQ262152 CJM262146:CJM262152 CTI262146:CTI262152 DDE262146:DDE262152 DNA262146:DNA262152 DWW262146:DWW262152 EGS262146:EGS262152 EQO262146:EQO262152 FAK262146:FAK262152 FKG262146:FKG262152 FUC262146:FUC262152 GDY262146:GDY262152 GNU262146:GNU262152 GXQ262146:GXQ262152 HHM262146:HHM262152 HRI262146:HRI262152 IBE262146:IBE262152 ILA262146:ILA262152 IUW262146:IUW262152 JES262146:JES262152 JOO262146:JOO262152 JYK262146:JYK262152 KIG262146:KIG262152 KSC262146:KSC262152 LBY262146:LBY262152 LLU262146:LLU262152 LVQ262146:LVQ262152 MFM262146:MFM262152 MPI262146:MPI262152 MZE262146:MZE262152 NJA262146:NJA262152 NSW262146:NSW262152 OCS262146:OCS262152 OMO262146:OMO262152 OWK262146:OWK262152 PGG262146:PGG262152 PQC262146:PQC262152 PZY262146:PZY262152 QJU262146:QJU262152 QTQ262146:QTQ262152 RDM262146:RDM262152 RNI262146:RNI262152 RXE262146:RXE262152 SHA262146:SHA262152 SQW262146:SQW262152 TAS262146:TAS262152 TKO262146:TKO262152 TUK262146:TUK262152 UEG262146:UEG262152 UOC262146:UOC262152 UXY262146:UXY262152 VHU262146:VHU262152 VRQ262146:VRQ262152 WBM262146:WBM262152 WLI262146:WLI262152 WVE262146:WVE262152 C393218:E393224 IS327682:IS327688 SO327682:SO327688 ACK327682:ACK327688 AMG327682:AMG327688 AWC327682:AWC327688 BFY327682:BFY327688 BPU327682:BPU327688 BZQ327682:BZQ327688 CJM327682:CJM327688 CTI327682:CTI327688 DDE327682:DDE327688 DNA327682:DNA327688 DWW327682:DWW327688 EGS327682:EGS327688 EQO327682:EQO327688 FAK327682:FAK327688 FKG327682:FKG327688 FUC327682:FUC327688 GDY327682:GDY327688 GNU327682:GNU327688 GXQ327682:GXQ327688 HHM327682:HHM327688 HRI327682:HRI327688 IBE327682:IBE327688 ILA327682:ILA327688 IUW327682:IUW327688 JES327682:JES327688 JOO327682:JOO327688 JYK327682:JYK327688 KIG327682:KIG327688 KSC327682:KSC327688 LBY327682:LBY327688 LLU327682:LLU327688 LVQ327682:LVQ327688 MFM327682:MFM327688 MPI327682:MPI327688 MZE327682:MZE327688 NJA327682:NJA327688 NSW327682:NSW327688 OCS327682:OCS327688 OMO327682:OMO327688 OWK327682:OWK327688 PGG327682:PGG327688 PQC327682:PQC327688 PZY327682:PZY327688 QJU327682:QJU327688 QTQ327682:QTQ327688 RDM327682:RDM327688 RNI327682:RNI327688 RXE327682:RXE327688 SHA327682:SHA327688 SQW327682:SQW327688 TAS327682:TAS327688 TKO327682:TKO327688 TUK327682:TUK327688 UEG327682:UEG327688 UOC327682:UOC327688 UXY327682:UXY327688 VHU327682:VHU327688 VRQ327682:VRQ327688 WBM327682:WBM327688 WLI327682:WLI327688 WVE327682:WVE327688 C458754:E458760 IS393218:IS393224 SO393218:SO393224 ACK393218:ACK393224 AMG393218:AMG393224 AWC393218:AWC393224 BFY393218:BFY393224 BPU393218:BPU393224 BZQ393218:BZQ393224 CJM393218:CJM393224 CTI393218:CTI393224 DDE393218:DDE393224 DNA393218:DNA393224 DWW393218:DWW393224 EGS393218:EGS393224 EQO393218:EQO393224 FAK393218:FAK393224 FKG393218:FKG393224 FUC393218:FUC393224 GDY393218:GDY393224 GNU393218:GNU393224 GXQ393218:GXQ393224 HHM393218:HHM393224 HRI393218:HRI393224 IBE393218:IBE393224 ILA393218:ILA393224 IUW393218:IUW393224 JES393218:JES393224 JOO393218:JOO393224 JYK393218:JYK393224 KIG393218:KIG393224 KSC393218:KSC393224 LBY393218:LBY393224 LLU393218:LLU393224 LVQ393218:LVQ393224 MFM393218:MFM393224 MPI393218:MPI393224 MZE393218:MZE393224 NJA393218:NJA393224 NSW393218:NSW393224 OCS393218:OCS393224 OMO393218:OMO393224 OWK393218:OWK393224 PGG393218:PGG393224 PQC393218:PQC393224 PZY393218:PZY393224 QJU393218:QJU393224 QTQ393218:QTQ393224 RDM393218:RDM393224 RNI393218:RNI393224 RXE393218:RXE393224 SHA393218:SHA393224 SQW393218:SQW393224 TAS393218:TAS393224 TKO393218:TKO393224 TUK393218:TUK393224 UEG393218:UEG393224 UOC393218:UOC393224 UXY393218:UXY393224 VHU393218:VHU393224 VRQ393218:VRQ393224 WBM393218:WBM393224 WLI393218:WLI393224 WVE393218:WVE393224 C524290:E524296 IS458754:IS458760 SO458754:SO458760 ACK458754:ACK458760 AMG458754:AMG458760 AWC458754:AWC458760 BFY458754:BFY458760 BPU458754:BPU458760 BZQ458754:BZQ458760 CJM458754:CJM458760 CTI458754:CTI458760 DDE458754:DDE458760 DNA458754:DNA458760 DWW458754:DWW458760 EGS458754:EGS458760 EQO458754:EQO458760 FAK458754:FAK458760 FKG458754:FKG458760 FUC458754:FUC458760 GDY458754:GDY458760 GNU458754:GNU458760 GXQ458754:GXQ458760 HHM458754:HHM458760 HRI458754:HRI458760 IBE458754:IBE458760 ILA458754:ILA458760 IUW458754:IUW458760 JES458754:JES458760 JOO458754:JOO458760 JYK458754:JYK458760 KIG458754:KIG458760 KSC458754:KSC458760 LBY458754:LBY458760 LLU458754:LLU458760 LVQ458754:LVQ458760 MFM458754:MFM458760 MPI458754:MPI458760 MZE458754:MZE458760 NJA458754:NJA458760 NSW458754:NSW458760 OCS458754:OCS458760 OMO458754:OMO458760 OWK458754:OWK458760 PGG458754:PGG458760 PQC458754:PQC458760 PZY458754:PZY458760 QJU458754:QJU458760 QTQ458754:QTQ458760 RDM458754:RDM458760 RNI458754:RNI458760 RXE458754:RXE458760 SHA458754:SHA458760 SQW458754:SQW458760 TAS458754:TAS458760 TKO458754:TKO458760 TUK458754:TUK458760 UEG458754:UEG458760 UOC458754:UOC458760 UXY458754:UXY458760 VHU458754:VHU458760 VRQ458754:VRQ458760 WBM458754:WBM458760 WLI458754:WLI458760 WVE458754:WVE458760 C589826:E589832 IS524290:IS524296 SO524290:SO524296 ACK524290:ACK524296 AMG524290:AMG524296 AWC524290:AWC524296 BFY524290:BFY524296 BPU524290:BPU524296 BZQ524290:BZQ524296 CJM524290:CJM524296 CTI524290:CTI524296 DDE524290:DDE524296 DNA524290:DNA524296 DWW524290:DWW524296 EGS524290:EGS524296 EQO524290:EQO524296 FAK524290:FAK524296 FKG524290:FKG524296 FUC524290:FUC524296 GDY524290:GDY524296 GNU524290:GNU524296 GXQ524290:GXQ524296 HHM524290:HHM524296 HRI524290:HRI524296 IBE524290:IBE524296 ILA524290:ILA524296 IUW524290:IUW524296 JES524290:JES524296 JOO524290:JOO524296 JYK524290:JYK524296 KIG524290:KIG524296 KSC524290:KSC524296 LBY524290:LBY524296 LLU524290:LLU524296 LVQ524290:LVQ524296 MFM524290:MFM524296 MPI524290:MPI524296 MZE524290:MZE524296 NJA524290:NJA524296 NSW524290:NSW524296 OCS524290:OCS524296 OMO524290:OMO524296 OWK524290:OWK524296 PGG524290:PGG524296 PQC524290:PQC524296 PZY524290:PZY524296 QJU524290:QJU524296 QTQ524290:QTQ524296 RDM524290:RDM524296 RNI524290:RNI524296 RXE524290:RXE524296 SHA524290:SHA524296 SQW524290:SQW524296 TAS524290:TAS524296 TKO524290:TKO524296 TUK524290:TUK524296 UEG524290:UEG524296 UOC524290:UOC524296 UXY524290:UXY524296 VHU524290:VHU524296 VRQ524290:VRQ524296 WBM524290:WBM524296 WLI524290:WLI524296 WVE524290:WVE524296 C655362:E655368 IS589826:IS589832 SO589826:SO589832 ACK589826:ACK589832 AMG589826:AMG589832 AWC589826:AWC589832 BFY589826:BFY589832 BPU589826:BPU589832 BZQ589826:BZQ589832 CJM589826:CJM589832 CTI589826:CTI589832 DDE589826:DDE589832 DNA589826:DNA589832 DWW589826:DWW589832 EGS589826:EGS589832 EQO589826:EQO589832 FAK589826:FAK589832 FKG589826:FKG589832 FUC589826:FUC589832 GDY589826:GDY589832 GNU589826:GNU589832 GXQ589826:GXQ589832 HHM589826:HHM589832 HRI589826:HRI589832 IBE589826:IBE589832 ILA589826:ILA589832 IUW589826:IUW589832 JES589826:JES589832 JOO589826:JOO589832 JYK589826:JYK589832 KIG589826:KIG589832 KSC589826:KSC589832 LBY589826:LBY589832 LLU589826:LLU589832 LVQ589826:LVQ589832 MFM589826:MFM589832 MPI589826:MPI589832 MZE589826:MZE589832 NJA589826:NJA589832 NSW589826:NSW589832 OCS589826:OCS589832 OMO589826:OMO589832 OWK589826:OWK589832 PGG589826:PGG589832 PQC589826:PQC589832 PZY589826:PZY589832 QJU589826:QJU589832 QTQ589826:QTQ589832 RDM589826:RDM589832 RNI589826:RNI589832 RXE589826:RXE589832 SHA589826:SHA589832 SQW589826:SQW589832 TAS589826:TAS589832 TKO589826:TKO589832 TUK589826:TUK589832 UEG589826:UEG589832 UOC589826:UOC589832 UXY589826:UXY589832 VHU589826:VHU589832 VRQ589826:VRQ589832 WBM589826:WBM589832 WLI589826:WLI589832 WVE589826:WVE589832 C720898:E720904 IS655362:IS655368 SO655362:SO655368 ACK655362:ACK655368 AMG655362:AMG655368 AWC655362:AWC655368 BFY655362:BFY655368 BPU655362:BPU655368 BZQ655362:BZQ655368 CJM655362:CJM655368 CTI655362:CTI655368 DDE655362:DDE655368 DNA655362:DNA655368 DWW655362:DWW655368 EGS655362:EGS655368 EQO655362:EQO655368 FAK655362:FAK655368 FKG655362:FKG655368 FUC655362:FUC655368 GDY655362:GDY655368 GNU655362:GNU655368 GXQ655362:GXQ655368 HHM655362:HHM655368 HRI655362:HRI655368 IBE655362:IBE655368 ILA655362:ILA655368 IUW655362:IUW655368 JES655362:JES655368 JOO655362:JOO655368 JYK655362:JYK655368 KIG655362:KIG655368 KSC655362:KSC655368 LBY655362:LBY655368 LLU655362:LLU655368 LVQ655362:LVQ655368 MFM655362:MFM655368 MPI655362:MPI655368 MZE655362:MZE655368 NJA655362:NJA655368 NSW655362:NSW655368 OCS655362:OCS655368 OMO655362:OMO655368 OWK655362:OWK655368 PGG655362:PGG655368 PQC655362:PQC655368 PZY655362:PZY655368 QJU655362:QJU655368 QTQ655362:QTQ655368 RDM655362:RDM655368 RNI655362:RNI655368 RXE655362:RXE655368 SHA655362:SHA655368 SQW655362:SQW655368 TAS655362:TAS655368 TKO655362:TKO655368 TUK655362:TUK655368 UEG655362:UEG655368 UOC655362:UOC655368 UXY655362:UXY655368 VHU655362:VHU655368 VRQ655362:VRQ655368 WBM655362:WBM655368 WLI655362:WLI655368 WVE655362:WVE655368 C786434:E786440 IS720898:IS720904 SO720898:SO720904 ACK720898:ACK720904 AMG720898:AMG720904 AWC720898:AWC720904 BFY720898:BFY720904 BPU720898:BPU720904 BZQ720898:BZQ720904 CJM720898:CJM720904 CTI720898:CTI720904 DDE720898:DDE720904 DNA720898:DNA720904 DWW720898:DWW720904 EGS720898:EGS720904 EQO720898:EQO720904 FAK720898:FAK720904 FKG720898:FKG720904 FUC720898:FUC720904 GDY720898:GDY720904 GNU720898:GNU720904 GXQ720898:GXQ720904 HHM720898:HHM720904 HRI720898:HRI720904 IBE720898:IBE720904 ILA720898:ILA720904 IUW720898:IUW720904 JES720898:JES720904 JOO720898:JOO720904 JYK720898:JYK720904 KIG720898:KIG720904 KSC720898:KSC720904 LBY720898:LBY720904 LLU720898:LLU720904 LVQ720898:LVQ720904 MFM720898:MFM720904 MPI720898:MPI720904 MZE720898:MZE720904 NJA720898:NJA720904 NSW720898:NSW720904 OCS720898:OCS720904 OMO720898:OMO720904 OWK720898:OWK720904 PGG720898:PGG720904 PQC720898:PQC720904 PZY720898:PZY720904 QJU720898:QJU720904 QTQ720898:QTQ720904 RDM720898:RDM720904 RNI720898:RNI720904 RXE720898:RXE720904 SHA720898:SHA720904 SQW720898:SQW720904 TAS720898:TAS720904 TKO720898:TKO720904 TUK720898:TUK720904 UEG720898:UEG720904 UOC720898:UOC720904 UXY720898:UXY720904 VHU720898:VHU720904 VRQ720898:VRQ720904 WBM720898:WBM720904 WLI720898:WLI720904 WVE720898:WVE720904 C851970:E851976 IS786434:IS786440 SO786434:SO786440 ACK786434:ACK786440 AMG786434:AMG786440 AWC786434:AWC786440 BFY786434:BFY786440 BPU786434:BPU786440 BZQ786434:BZQ786440 CJM786434:CJM786440 CTI786434:CTI786440 DDE786434:DDE786440 DNA786434:DNA786440 DWW786434:DWW786440 EGS786434:EGS786440 EQO786434:EQO786440 FAK786434:FAK786440 FKG786434:FKG786440 FUC786434:FUC786440 GDY786434:GDY786440 GNU786434:GNU786440 GXQ786434:GXQ786440 HHM786434:HHM786440 HRI786434:HRI786440 IBE786434:IBE786440 ILA786434:ILA786440 IUW786434:IUW786440 JES786434:JES786440 JOO786434:JOO786440 JYK786434:JYK786440 KIG786434:KIG786440 KSC786434:KSC786440 LBY786434:LBY786440 LLU786434:LLU786440 LVQ786434:LVQ786440 MFM786434:MFM786440 MPI786434:MPI786440 MZE786434:MZE786440 NJA786434:NJA786440 NSW786434:NSW786440 OCS786434:OCS786440 OMO786434:OMO786440 OWK786434:OWK786440 PGG786434:PGG786440 PQC786434:PQC786440 PZY786434:PZY786440 QJU786434:QJU786440 QTQ786434:QTQ786440 RDM786434:RDM786440 RNI786434:RNI786440 RXE786434:RXE786440 SHA786434:SHA786440 SQW786434:SQW786440 TAS786434:TAS786440 TKO786434:TKO786440 TUK786434:TUK786440 UEG786434:UEG786440 UOC786434:UOC786440 UXY786434:UXY786440 VHU786434:VHU786440 VRQ786434:VRQ786440 WBM786434:WBM786440 WLI786434:WLI786440 WVE786434:WVE786440 C917506:E917512 IS851970:IS851976 SO851970:SO851976 ACK851970:ACK851976 AMG851970:AMG851976 AWC851970:AWC851976 BFY851970:BFY851976 BPU851970:BPU851976 BZQ851970:BZQ851976 CJM851970:CJM851976 CTI851970:CTI851976 DDE851970:DDE851976 DNA851970:DNA851976 DWW851970:DWW851976 EGS851970:EGS851976 EQO851970:EQO851976 FAK851970:FAK851976 FKG851970:FKG851976 FUC851970:FUC851976 GDY851970:GDY851976 GNU851970:GNU851976 GXQ851970:GXQ851976 HHM851970:HHM851976 HRI851970:HRI851976 IBE851970:IBE851976 ILA851970:ILA851976 IUW851970:IUW851976 JES851970:JES851976 JOO851970:JOO851976 JYK851970:JYK851976 KIG851970:KIG851976 KSC851970:KSC851976 LBY851970:LBY851976 LLU851970:LLU851976 LVQ851970:LVQ851976 MFM851970:MFM851976 MPI851970:MPI851976 MZE851970:MZE851976 NJA851970:NJA851976 NSW851970:NSW851976 OCS851970:OCS851976 OMO851970:OMO851976 OWK851970:OWK851976 PGG851970:PGG851976 PQC851970:PQC851976 PZY851970:PZY851976 QJU851970:QJU851976 QTQ851970:QTQ851976 RDM851970:RDM851976 RNI851970:RNI851976 RXE851970:RXE851976 SHA851970:SHA851976 SQW851970:SQW851976 TAS851970:TAS851976 TKO851970:TKO851976 TUK851970:TUK851976 UEG851970:UEG851976 UOC851970:UOC851976 UXY851970:UXY851976 VHU851970:VHU851976 VRQ851970:VRQ851976 WBM851970:WBM851976 WLI851970:WLI851976 WVE851970:WVE851976 C983042:E983048 IS917506:IS917512 SO917506:SO917512 ACK917506:ACK917512 AMG917506:AMG917512 AWC917506:AWC917512 BFY917506:BFY917512 BPU917506:BPU917512 BZQ917506:BZQ917512 CJM917506:CJM917512 CTI917506:CTI917512 DDE917506:DDE917512 DNA917506:DNA917512 DWW917506:DWW917512 EGS917506:EGS917512 EQO917506:EQO917512 FAK917506:FAK917512 FKG917506:FKG917512 FUC917506:FUC917512 GDY917506:GDY917512 GNU917506:GNU917512 GXQ917506:GXQ917512 HHM917506:HHM917512 HRI917506:HRI917512 IBE917506:IBE917512 ILA917506:ILA917512 IUW917506:IUW917512 JES917506:JES917512 JOO917506:JOO917512 JYK917506:JYK917512 KIG917506:KIG917512 KSC917506:KSC917512 LBY917506:LBY917512 LLU917506:LLU917512 LVQ917506:LVQ917512 MFM917506:MFM917512 MPI917506:MPI917512 MZE917506:MZE917512 NJA917506:NJA917512 NSW917506:NSW917512 OCS917506:OCS917512 OMO917506:OMO917512 OWK917506:OWK917512 PGG917506:PGG917512 PQC917506:PQC917512 PZY917506:PZY917512 QJU917506:QJU917512 QTQ917506:QTQ917512 RDM917506:RDM917512 RNI917506:RNI917512 RXE917506:RXE917512 SHA917506:SHA917512 SQW917506:SQW917512 TAS917506:TAS917512 TKO917506:TKO917512 TUK917506:TUK917512 UEG917506:UEG917512 UOC917506:UOC917512 UXY917506:UXY917512 VHU917506:VHU917512 VRQ917506:VRQ917512 WBM917506:WBM917512 WLI917506:WLI917512 WVE917506:WVE917512 WVE983042:WVE983048 IS983042:IS983048 SO983042:SO983048 ACK983042:ACK983048 AMG983042:AMG983048 AWC983042:AWC983048 BFY983042:BFY983048 BPU983042:BPU983048 BZQ983042:BZQ983048 CJM983042:CJM983048 CTI983042:CTI983048 DDE983042:DDE983048 DNA983042:DNA983048 DWW983042:DWW983048 EGS983042:EGS983048 EQO983042:EQO983048 FAK983042:FAK983048 FKG983042:FKG983048 FUC983042:FUC983048 GDY983042:GDY983048 GNU983042:GNU983048 GXQ983042:GXQ983048 HHM983042:HHM983048 HRI983042:HRI983048 IBE983042:IBE983048 ILA983042:ILA983048 IUW983042:IUW983048 JES983042:JES983048 JOO983042:JOO983048 JYK983042:JYK983048 KIG983042:KIG983048 KSC983042:KSC983048 LBY983042:LBY983048 LLU983042:LLU983048 LVQ983042:LVQ983048 MFM983042:MFM983048 MPI983042:MPI983048 MZE983042:MZE983048 NJA983042:NJA983048 NSW983042:NSW983048 OCS983042:OCS983048 OMO983042:OMO983048 OWK983042:OWK983048 PGG983042:PGG983048 PQC983042:PQC983048 PZY983042:PZY983048 QJU983042:QJU983048 QTQ983042:QTQ983048 RDM983042:RDM983048 RNI983042:RNI983048 RXE983042:RXE983048 SHA983042:SHA983048 SQW983042:SQW983048 TAS983042:TAS983048 TKO983042:TKO983048 TUK983042:TUK983048 UEG983042:UEG983048 UOC983042:UOC983048 UXY983042:UXY983048 VHU983042:VHU983048 VRQ983042:VRQ983048 WBM983042:WBM983048 WLI983042:WLI983048">
      <formula1>0</formula1>
      <formula2>83000000000</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17"/>
  <sheetViews>
    <sheetView zoomScale="91" zoomScaleNormal="91" workbookViewId="0">
      <pane xSplit="4" ySplit="6" topLeftCell="F106" activePane="bottomRight" state="frozen"/>
      <selection activeCell="Q9" sqref="Q9"/>
      <selection pane="topRight" activeCell="Q9" sqref="Q9"/>
      <selection pane="bottomLeft" activeCell="Q9" sqref="Q9"/>
      <selection pane="bottomRight" activeCell="Q9" sqref="Q9"/>
    </sheetView>
  </sheetViews>
  <sheetFormatPr baseColWidth="10" defaultRowHeight="15"/>
  <cols>
    <col min="1" max="1" width="1.85546875" style="43" customWidth="1"/>
    <col min="2" max="2" width="23.85546875" style="43" customWidth="1"/>
    <col min="3" max="3" width="15.140625" style="43" customWidth="1"/>
    <col min="4" max="4" width="17.85546875" style="43" bestFit="1" customWidth="1"/>
    <col min="5" max="5" width="32.7109375" style="43" customWidth="1"/>
    <col min="6" max="6" width="29.28515625" style="43" customWidth="1"/>
    <col min="7" max="7" width="15.28515625" style="43" bestFit="1" customWidth="1"/>
    <col min="8" max="8" width="20.28515625" style="43" customWidth="1"/>
    <col min="9" max="9" width="18.7109375" style="43" customWidth="1"/>
    <col min="10" max="10" width="11.42578125" style="43"/>
    <col min="11" max="11" width="16.5703125" style="43" customWidth="1"/>
    <col min="12" max="12" width="17.7109375" style="43" bestFit="1" customWidth="1"/>
    <col min="13" max="13" width="13.7109375" style="43" customWidth="1"/>
    <col min="14" max="14" width="19.7109375" style="43" hidden="1" customWidth="1"/>
    <col min="15" max="15" width="21" style="43" hidden="1" customWidth="1"/>
    <col min="16" max="16" width="17.140625" style="43" customWidth="1"/>
    <col min="17" max="17" width="21" style="43" customWidth="1"/>
    <col min="18" max="18" width="11.42578125" style="1221"/>
    <col min="19" max="16384" width="11.42578125" style="43"/>
  </cols>
  <sheetData>
    <row r="1" spans="1:18" ht="15.75" thickBot="1"/>
    <row r="2" spans="1:18" ht="75" customHeight="1" thickBot="1">
      <c r="A2" s="60"/>
      <c r="B2" s="1528"/>
      <c r="C2" s="1529"/>
      <c r="D2" s="1545" t="s">
        <v>306</v>
      </c>
      <c r="E2" s="1546"/>
      <c r="F2" s="1546"/>
      <c r="G2" s="1546"/>
      <c r="H2" s="1546"/>
      <c r="I2" s="1546"/>
      <c r="J2" s="1546"/>
      <c r="K2" s="1546"/>
      <c r="L2" s="1546"/>
      <c r="M2" s="1546"/>
      <c r="N2" s="1546"/>
      <c r="O2" s="1546"/>
      <c r="P2" s="1546"/>
      <c r="Q2" s="1546"/>
    </row>
    <row r="3" spans="1:18" ht="15.75" thickBot="1">
      <c r="A3" s="48"/>
      <c r="B3" s="48"/>
      <c r="C3" s="48"/>
      <c r="D3" s="48"/>
      <c r="E3" s="48"/>
      <c r="F3" s="48"/>
      <c r="G3" s="48"/>
      <c r="H3" s="48"/>
      <c r="I3" s="48"/>
      <c r="J3" s="1547" t="s">
        <v>228</v>
      </c>
      <c r="K3" s="1547"/>
      <c r="L3" s="1547"/>
      <c r="M3" s="1547"/>
      <c r="N3" s="1547"/>
      <c r="O3" s="1547"/>
      <c r="P3" s="1547"/>
      <c r="Q3" s="1547"/>
    </row>
    <row r="4" spans="1:18" ht="21.6" customHeight="1" thickBot="1">
      <c r="A4" s="48"/>
      <c r="B4" s="1530" t="s">
        <v>48</v>
      </c>
      <c r="C4" s="1530" t="s">
        <v>49</v>
      </c>
      <c r="D4" s="1530" t="s">
        <v>229</v>
      </c>
      <c r="E4" s="1530" t="s">
        <v>230</v>
      </c>
      <c r="F4" s="1530" t="s">
        <v>131</v>
      </c>
      <c r="G4" s="1530" t="s">
        <v>231</v>
      </c>
      <c r="H4" s="1530" t="s">
        <v>232</v>
      </c>
      <c r="I4" s="1530" t="s">
        <v>233</v>
      </c>
      <c r="J4" s="1530" t="s">
        <v>234</v>
      </c>
      <c r="K4" s="1530"/>
      <c r="L4" s="1530"/>
      <c r="M4" s="1549"/>
      <c r="N4" s="1530" t="s">
        <v>235</v>
      </c>
      <c r="O4" s="1530"/>
      <c r="P4" s="1530" t="s">
        <v>1314</v>
      </c>
      <c r="Q4" s="1530"/>
    </row>
    <row r="5" spans="1:18" ht="21.6" customHeight="1" thickBot="1">
      <c r="A5" s="48"/>
      <c r="B5" s="1530"/>
      <c r="C5" s="1530"/>
      <c r="D5" s="1530"/>
      <c r="E5" s="1530"/>
      <c r="F5" s="1530"/>
      <c r="G5" s="1530"/>
      <c r="H5" s="1530"/>
      <c r="I5" s="1530"/>
      <c r="J5" s="1522" t="s">
        <v>236</v>
      </c>
      <c r="K5" s="1522"/>
      <c r="L5" s="1523" t="s">
        <v>237</v>
      </c>
      <c r="M5" s="1550"/>
      <c r="N5" s="1543" t="s">
        <v>18</v>
      </c>
      <c r="O5" s="1543" t="s">
        <v>71</v>
      </c>
      <c r="P5" s="1543" t="s">
        <v>18</v>
      </c>
      <c r="Q5" s="1543" t="s">
        <v>71</v>
      </c>
      <c r="R5" s="1542" t="s">
        <v>2323</v>
      </c>
    </row>
    <row r="6" spans="1:18" ht="21.6" customHeight="1">
      <c r="A6" s="48"/>
      <c r="B6" s="1548"/>
      <c r="C6" s="1548"/>
      <c r="D6" s="1548"/>
      <c r="E6" s="692" t="s">
        <v>238</v>
      </c>
      <c r="F6" s="1548"/>
      <c r="G6" s="1548"/>
      <c r="H6" s="1548"/>
      <c r="I6" s="1548"/>
      <c r="J6" s="675" t="s">
        <v>239</v>
      </c>
      <c r="K6" s="675" t="s">
        <v>240</v>
      </c>
      <c r="L6" s="675" t="s">
        <v>239</v>
      </c>
      <c r="M6" s="676" t="s">
        <v>240</v>
      </c>
      <c r="N6" s="1544"/>
      <c r="O6" s="1544"/>
      <c r="P6" s="1544"/>
      <c r="Q6" s="1544"/>
      <c r="R6" s="1542"/>
    </row>
    <row r="7" spans="1:18" ht="38.25">
      <c r="B7" s="67" t="s">
        <v>160</v>
      </c>
      <c r="C7" s="68">
        <v>2802000</v>
      </c>
      <c r="D7" s="69"/>
      <c r="E7" s="69"/>
      <c r="F7" s="70"/>
      <c r="G7" s="70"/>
      <c r="H7" s="71"/>
      <c r="I7" s="71"/>
      <c r="J7" s="71"/>
      <c r="K7" s="71"/>
      <c r="L7" s="71"/>
      <c r="M7" s="71"/>
      <c r="N7" s="72"/>
      <c r="O7" s="72"/>
      <c r="P7" s="72"/>
      <c r="Q7" s="72"/>
    </row>
    <row r="8" spans="1:18" ht="51">
      <c r="B8" s="73" t="s">
        <v>51</v>
      </c>
      <c r="C8" s="74">
        <v>419300</v>
      </c>
      <c r="D8" s="75"/>
      <c r="E8" s="75"/>
      <c r="F8" s="76" t="s">
        <v>255</v>
      </c>
      <c r="G8" s="74">
        <v>419300</v>
      </c>
      <c r="H8" s="77"/>
      <c r="I8" s="77"/>
      <c r="J8" s="77"/>
      <c r="K8" s="77"/>
      <c r="L8" s="77"/>
      <c r="M8" s="77"/>
      <c r="N8" s="72"/>
      <c r="O8" s="72"/>
      <c r="P8" s="72"/>
      <c r="Q8" s="72"/>
    </row>
    <row r="9" spans="1:18" ht="105">
      <c r="B9" s="53"/>
      <c r="C9" s="78">
        <v>60300</v>
      </c>
      <c r="D9" s="46" t="s">
        <v>117</v>
      </c>
      <c r="E9" s="45" t="s">
        <v>37</v>
      </c>
      <c r="F9" s="50"/>
      <c r="G9" s="78">
        <v>60300</v>
      </c>
      <c r="H9" s="79" t="s">
        <v>256</v>
      </c>
      <c r="I9" s="64" t="s">
        <v>257</v>
      </c>
      <c r="J9" s="64" t="s">
        <v>37</v>
      </c>
      <c r="K9" s="64" t="s">
        <v>258</v>
      </c>
      <c r="L9" s="64" t="s">
        <v>259</v>
      </c>
      <c r="M9" s="63" t="s">
        <v>260</v>
      </c>
      <c r="N9" s="72" t="s">
        <v>37</v>
      </c>
      <c r="O9" s="674" t="s">
        <v>261</v>
      </c>
      <c r="P9" s="681" t="s">
        <v>37</v>
      </c>
      <c r="Q9" s="679" t="s">
        <v>223</v>
      </c>
      <c r="R9" s="1541">
        <f>6/7</f>
        <v>0.8571428571428571</v>
      </c>
    </row>
    <row r="10" spans="1:18" ht="38.25">
      <c r="B10" s="53"/>
      <c r="C10" s="78">
        <v>90000</v>
      </c>
      <c r="D10" s="46" t="s">
        <v>262</v>
      </c>
      <c r="E10" s="45" t="s">
        <v>37</v>
      </c>
      <c r="F10" s="50"/>
      <c r="G10" s="78">
        <v>90000</v>
      </c>
      <c r="H10" s="64" t="s">
        <v>256</v>
      </c>
      <c r="I10" s="64" t="s">
        <v>257</v>
      </c>
      <c r="J10" s="64" t="s">
        <v>37</v>
      </c>
      <c r="K10" s="64" t="s">
        <v>258</v>
      </c>
      <c r="L10" s="64" t="s">
        <v>259</v>
      </c>
      <c r="M10" s="63" t="s">
        <v>260</v>
      </c>
      <c r="N10" s="72" t="s">
        <v>37</v>
      </c>
      <c r="O10" s="72"/>
      <c r="P10" s="681" t="s">
        <v>14</v>
      </c>
      <c r="Q10" s="679" t="s">
        <v>223</v>
      </c>
      <c r="R10" s="1541"/>
    </row>
    <row r="11" spans="1:18" ht="38.25">
      <c r="B11" s="53"/>
      <c r="C11" s="78">
        <v>50000</v>
      </c>
      <c r="D11" s="46" t="s">
        <v>263</v>
      </c>
      <c r="E11" s="45" t="s">
        <v>37</v>
      </c>
      <c r="F11" s="50"/>
      <c r="G11" s="78">
        <v>50000</v>
      </c>
      <c r="H11" s="64" t="s">
        <v>256</v>
      </c>
      <c r="I11" s="64" t="s">
        <v>257</v>
      </c>
      <c r="J11" s="64" t="s">
        <v>37</v>
      </c>
      <c r="K11" s="64" t="s">
        <v>258</v>
      </c>
      <c r="L11" s="64" t="s">
        <v>259</v>
      </c>
      <c r="M11" s="63" t="s">
        <v>260</v>
      </c>
      <c r="N11" s="72" t="s">
        <v>37</v>
      </c>
      <c r="O11" s="72"/>
      <c r="P11" s="681" t="s">
        <v>14</v>
      </c>
      <c r="Q11" s="679" t="s">
        <v>223</v>
      </c>
      <c r="R11" s="1541"/>
    </row>
    <row r="12" spans="1:18" ht="38.25">
      <c r="B12" s="53"/>
      <c r="C12" s="78">
        <v>80000</v>
      </c>
      <c r="D12" s="46" t="s">
        <v>264</v>
      </c>
      <c r="E12" s="45" t="s">
        <v>37</v>
      </c>
      <c r="F12" s="50"/>
      <c r="G12" s="78">
        <v>80000</v>
      </c>
      <c r="H12" s="64" t="s">
        <v>256</v>
      </c>
      <c r="I12" s="64" t="s">
        <v>257</v>
      </c>
      <c r="J12" s="64" t="s">
        <v>37</v>
      </c>
      <c r="K12" s="64" t="s">
        <v>258</v>
      </c>
      <c r="L12" s="64" t="s">
        <v>259</v>
      </c>
      <c r="M12" s="63" t="s">
        <v>260</v>
      </c>
      <c r="N12" s="72" t="s">
        <v>37</v>
      </c>
      <c r="O12" s="72"/>
      <c r="P12" s="681" t="s">
        <v>14</v>
      </c>
      <c r="Q12" s="679" t="s">
        <v>223</v>
      </c>
      <c r="R12" s="1541"/>
    </row>
    <row r="13" spans="1:18" ht="38.25">
      <c r="B13" s="53"/>
      <c r="C13" s="78">
        <v>54000</v>
      </c>
      <c r="D13" s="46" t="s">
        <v>265</v>
      </c>
      <c r="E13" s="45" t="s">
        <v>37</v>
      </c>
      <c r="F13" s="50"/>
      <c r="G13" s="78">
        <v>54000</v>
      </c>
      <c r="H13" s="64" t="s">
        <v>256</v>
      </c>
      <c r="I13" s="64" t="s">
        <v>257</v>
      </c>
      <c r="J13" s="64" t="s">
        <v>37</v>
      </c>
      <c r="K13" s="64" t="s">
        <v>258</v>
      </c>
      <c r="L13" s="64" t="s">
        <v>259</v>
      </c>
      <c r="M13" s="63" t="s">
        <v>260</v>
      </c>
      <c r="N13" s="72" t="s">
        <v>37</v>
      </c>
      <c r="O13" s="72"/>
      <c r="P13" s="681" t="s">
        <v>14</v>
      </c>
      <c r="Q13" s="679" t="s">
        <v>223</v>
      </c>
      <c r="R13" s="1541"/>
    </row>
    <row r="14" spans="1:18" ht="38.25">
      <c r="B14" s="53"/>
      <c r="C14" s="78">
        <v>55000</v>
      </c>
      <c r="D14" s="46" t="s">
        <v>266</v>
      </c>
      <c r="E14" s="45" t="s">
        <v>37</v>
      </c>
      <c r="F14" s="50"/>
      <c r="G14" s="78">
        <v>55000</v>
      </c>
      <c r="H14" s="64" t="s">
        <v>256</v>
      </c>
      <c r="I14" s="64" t="s">
        <v>257</v>
      </c>
      <c r="J14" s="64" t="s">
        <v>37</v>
      </c>
      <c r="K14" s="64" t="s">
        <v>258</v>
      </c>
      <c r="L14" s="64" t="s">
        <v>259</v>
      </c>
      <c r="M14" s="63" t="s">
        <v>260</v>
      </c>
      <c r="N14" s="72" t="s">
        <v>14</v>
      </c>
      <c r="O14" s="72" t="s">
        <v>267</v>
      </c>
      <c r="P14" s="681" t="s">
        <v>14</v>
      </c>
      <c r="Q14" s="679" t="s">
        <v>223</v>
      </c>
      <c r="R14" s="1541"/>
    </row>
    <row r="15" spans="1:18" ht="38.25">
      <c r="B15" s="53"/>
      <c r="C15" s="78">
        <v>30000</v>
      </c>
      <c r="D15" s="46" t="s">
        <v>174</v>
      </c>
      <c r="E15" s="45" t="s">
        <v>37</v>
      </c>
      <c r="F15" s="50"/>
      <c r="G15" s="78">
        <v>30000</v>
      </c>
      <c r="H15" s="64" t="s">
        <v>256</v>
      </c>
      <c r="I15" s="64" t="s">
        <v>257</v>
      </c>
      <c r="J15" s="64" t="s">
        <v>37</v>
      </c>
      <c r="K15" s="64" t="s">
        <v>258</v>
      </c>
      <c r="L15" s="64" t="s">
        <v>259</v>
      </c>
      <c r="M15" s="63" t="s">
        <v>260</v>
      </c>
      <c r="N15" s="72" t="s">
        <v>37</v>
      </c>
      <c r="O15" s="72"/>
      <c r="P15" s="681" t="s">
        <v>14</v>
      </c>
      <c r="Q15" s="679" t="s">
        <v>223</v>
      </c>
      <c r="R15" s="1541"/>
    </row>
    <row r="16" spans="1:18" ht="63.75">
      <c r="B16" s="73" t="s">
        <v>118</v>
      </c>
      <c r="C16" s="74">
        <v>65000</v>
      </c>
      <c r="D16" s="81"/>
      <c r="E16" s="81"/>
      <c r="F16" s="76" t="s">
        <v>268</v>
      </c>
      <c r="G16" s="74">
        <v>65000</v>
      </c>
      <c r="H16" s="77"/>
      <c r="I16" s="77"/>
      <c r="J16" s="77"/>
      <c r="K16" s="77"/>
      <c r="L16" s="77"/>
      <c r="M16" s="77"/>
      <c r="N16" s="72"/>
      <c r="O16" s="72"/>
      <c r="P16" s="72"/>
      <c r="Q16" s="72"/>
    </row>
    <row r="17" spans="2:18" ht="38.25">
      <c r="B17" s="53"/>
      <c r="C17" s="78">
        <v>20000</v>
      </c>
      <c r="D17" s="46" t="s">
        <v>269</v>
      </c>
      <c r="E17" s="45" t="s">
        <v>37</v>
      </c>
      <c r="F17" s="50"/>
      <c r="G17" s="78">
        <v>20000</v>
      </c>
      <c r="H17" s="64" t="s">
        <v>270</v>
      </c>
      <c r="I17" s="64" t="s">
        <v>271</v>
      </c>
      <c r="J17" s="64" t="s">
        <v>37</v>
      </c>
      <c r="K17" s="64" t="s">
        <v>258</v>
      </c>
      <c r="L17" s="64" t="s">
        <v>259</v>
      </c>
      <c r="M17" s="63" t="s">
        <v>260</v>
      </c>
      <c r="N17" s="592"/>
      <c r="O17" s="72"/>
      <c r="P17" s="681" t="s">
        <v>14</v>
      </c>
      <c r="Q17" s="679" t="s">
        <v>223</v>
      </c>
      <c r="R17" s="1541">
        <v>1</v>
      </c>
    </row>
    <row r="18" spans="2:18" ht="38.25">
      <c r="B18" s="53"/>
      <c r="C18" s="78">
        <v>15000</v>
      </c>
      <c r="D18" s="46" t="s">
        <v>263</v>
      </c>
      <c r="E18" s="45" t="s">
        <v>37</v>
      </c>
      <c r="F18" s="50"/>
      <c r="G18" s="78">
        <v>15000</v>
      </c>
      <c r="H18" s="64" t="s">
        <v>270</v>
      </c>
      <c r="I18" s="57" t="s">
        <v>271</v>
      </c>
      <c r="J18" s="57" t="s">
        <v>37</v>
      </c>
      <c r="K18" s="57" t="s">
        <v>258</v>
      </c>
      <c r="L18" s="57" t="s">
        <v>259</v>
      </c>
      <c r="M18" s="63" t="s">
        <v>260</v>
      </c>
      <c r="N18" s="592"/>
      <c r="O18" s="72"/>
      <c r="P18" s="681" t="s">
        <v>14</v>
      </c>
      <c r="Q18" s="679" t="s">
        <v>223</v>
      </c>
      <c r="R18" s="1541"/>
    </row>
    <row r="19" spans="2:18" ht="38.25">
      <c r="B19" s="53"/>
      <c r="C19" s="78">
        <v>15000</v>
      </c>
      <c r="D19" s="46" t="s">
        <v>265</v>
      </c>
      <c r="E19" s="45" t="s">
        <v>37</v>
      </c>
      <c r="F19" s="50"/>
      <c r="G19" s="78">
        <v>15000</v>
      </c>
      <c r="H19" s="64" t="s">
        <v>270</v>
      </c>
      <c r="I19" s="57" t="s">
        <v>271</v>
      </c>
      <c r="J19" s="57" t="s">
        <v>37</v>
      </c>
      <c r="K19" s="57" t="s">
        <v>258</v>
      </c>
      <c r="L19" s="57" t="s">
        <v>259</v>
      </c>
      <c r="M19" s="63" t="s">
        <v>260</v>
      </c>
      <c r="N19" s="592"/>
      <c r="O19" s="72"/>
      <c r="P19" s="681" t="s">
        <v>14</v>
      </c>
      <c r="Q19" s="679" t="s">
        <v>223</v>
      </c>
      <c r="R19" s="1541"/>
    </row>
    <row r="20" spans="2:18" ht="38.25">
      <c r="B20" s="53"/>
      <c r="C20" s="78">
        <v>15000</v>
      </c>
      <c r="D20" s="46" t="s">
        <v>266</v>
      </c>
      <c r="E20" s="45" t="s">
        <v>37</v>
      </c>
      <c r="F20" s="50"/>
      <c r="G20" s="78">
        <v>15000</v>
      </c>
      <c r="H20" s="64" t="s">
        <v>270</v>
      </c>
      <c r="I20" s="57" t="s">
        <v>271</v>
      </c>
      <c r="J20" s="57" t="s">
        <v>37</v>
      </c>
      <c r="K20" s="57" t="s">
        <v>258</v>
      </c>
      <c r="L20" s="57" t="s">
        <v>259</v>
      </c>
      <c r="M20" s="63" t="s">
        <v>260</v>
      </c>
      <c r="N20" s="592"/>
      <c r="O20" s="72"/>
      <c r="P20" s="681" t="s">
        <v>14</v>
      </c>
      <c r="Q20" s="679" t="s">
        <v>223</v>
      </c>
      <c r="R20" s="1541"/>
    </row>
    <row r="21" spans="2:18" ht="51">
      <c r="B21" s="73" t="s">
        <v>52</v>
      </c>
      <c r="C21" s="74">
        <v>38000</v>
      </c>
      <c r="D21" s="75"/>
      <c r="E21" s="81"/>
      <c r="F21" s="76" t="s">
        <v>272</v>
      </c>
      <c r="G21" s="74">
        <v>38000</v>
      </c>
      <c r="H21" s="77"/>
      <c r="I21" s="82"/>
      <c r="J21" s="82"/>
      <c r="K21" s="82"/>
      <c r="L21" s="82"/>
      <c r="M21" s="82"/>
      <c r="N21" s="592"/>
      <c r="O21" s="72"/>
      <c r="P21" s="82"/>
      <c r="Q21" s="82"/>
    </row>
    <row r="22" spans="2:18" ht="60">
      <c r="B22" s="53"/>
      <c r="C22" s="78">
        <v>10000</v>
      </c>
      <c r="D22" s="46" t="s">
        <v>0</v>
      </c>
      <c r="E22" s="45" t="s">
        <v>37</v>
      </c>
      <c r="F22" s="50"/>
      <c r="G22" s="78">
        <v>10000</v>
      </c>
      <c r="H22" s="64" t="s">
        <v>270</v>
      </c>
      <c r="I22" s="57" t="s">
        <v>271</v>
      </c>
      <c r="J22" s="57" t="s">
        <v>37</v>
      </c>
      <c r="K22" s="57" t="s">
        <v>258</v>
      </c>
      <c r="L22" s="57" t="s">
        <v>259</v>
      </c>
      <c r="M22" s="566" t="s">
        <v>260</v>
      </c>
      <c r="N22" s="592" t="s">
        <v>14</v>
      </c>
      <c r="O22" s="674" t="s">
        <v>273</v>
      </c>
      <c r="P22" s="681" t="s">
        <v>14</v>
      </c>
      <c r="Q22" s="679" t="s">
        <v>223</v>
      </c>
      <c r="R22" s="1541">
        <v>1</v>
      </c>
    </row>
    <row r="23" spans="2:18" ht="38.25">
      <c r="B23" s="53"/>
      <c r="C23" s="78">
        <v>6000</v>
      </c>
      <c r="D23" s="46" t="s">
        <v>269</v>
      </c>
      <c r="E23" s="45" t="s">
        <v>37</v>
      </c>
      <c r="F23" s="50"/>
      <c r="G23" s="78">
        <v>6000</v>
      </c>
      <c r="H23" s="64" t="s">
        <v>270</v>
      </c>
      <c r="I23" s="57" t="s">
        <v>271</v>
      </c>
      <c r="J23" s="57" t="s">
        <v>37</v>
      </c>
      <c r="K23" s="57" t="s">
        <v>258</v>
      </c>
      <c r="L23" s="57" t="s">
        <v>259</v>
      </c>
      <c r="M23" s="566" t="s">
        <v>260</v>
      </c>
      <c r="N23" s="592"/>
      <c r="O23" s="72"/>
      <c r="P23" s="681" t="s">
        <v>14</v>
      </c>
      <c r="Q23" s="679" t="s">
        <v>223</v>
      </c>
      <c r="R23" s="1541"/>
    </row>
    <row r="24" spans="2:18" ht="38.25">
      <c r="B24" s="53"/>
      <c r="C24" s="78">
        <v>7000</v>
      </c>
      <c r="D24" s="46" t="s">
        <v>274</v>
      </c>
      <c r="E24" s="45" t="s">
        <v>37</v>
      </c>
      <c r="F24" s="50"/>
      <c r="G24" s="78">
        <v>7000</v>
      </c>
      <c r="H24" s="64" t="s">
        <v>270</v>
      </c>
      <c r="I24" s="57" t="s">
        <v>275</v>
      </c>
      <c r="J24" s="57" t="s">
        <v>37</v>
      </c>
      <c r="K24" s="57" t="s">
        <v>258</v>
      </c>
      <c r="L24" s="57" t="s">
        <v>259</v>
      </c>
      <c r="M24" s="566" t="s">
        <v>260</v>
      </c>
      <c r="N24" s="592"/>
      <c r="O24" s="72"/>
      <c r="P24" s="681" t="s">
        <v>14</v>
      </c>
      <c r="Q24" s="679" t="s">
        <v>223</v>
      </c>
      <c r="R24" s="1541"/>
    </row>
    <row r="25" spans="2:18" ht="38.25">
      <c r="B25" s="53"/>
      <c r="C25" s="78">
        <v>5000</v>
      </c>
      <c r="D25" s="46" t="s">
        <v>1</v>
      </c>
      <c r="E25" s="45" t="s">
        <v>37</v>
      </c>
      <c r="F25" s="50"/>
      <c r="G25" s="78">
        <v>5000</v>
      </c>
      <c r="H25" s="64" t="s">
        <v>270</v>
      </c>
      <c r="I25" s="57" t="s">
        <v>276</v>
      </c>
      <c r="J25" s="57" t="s">
        <v>37</v>
      </c>
      <c r="K25" s="57" t="s">
        <v>258</v>
      </c>
      <c r="L25" s="57" t="s">
        <v>259</v>
      </c>
      <c r="M25" s="566" t="s">
        <v>260</v>
      </c>
      <c r="N25" s="592"/>
      <c r="O25" s="72"/>
      <c r="P25" s="681" t="s">
        <v>14</v>
      </c>
      <c r="Q25" s="679" t="s">
        <v>223</v>
      </c>
      <c r="R25" s="1541"/>
    </row>
    <row r="26" spans="2:18" ht="38.25">
      <c r="B26" s="53"/>
      <c r="C26" s="78">
        <v>5000</v>
      </c>
      <c r="D26" s="46" t="s">
        <v>34</v>
      </c>
      <c r="E26" s="45" t="s">
        <v>37</v>
      </c>
      <c r="F26" s="50"/>
      <c r="G26" s="78">
        <v>5000</v>
      </c>
      <c r="H26" s="64" t="s">
        <v>270</v>
      </c>
      <c r="I26" s="57" t="s">
        <v>277</v>
      </c>
      <c r="J26" s="57" t="s">
        <v>37</v>
      </c>
      <c r="K26" s="57" t="s">
        <v>258</v>
      </c>
      <c r="L26" s="57" t="s">
        <v>259</v>
      </c>
      <c r="M26" s="566" t="s">
        <v>260</v>
      </c>
      <c r="N26" s="592"/>
      <c r="O26" s="72"/>
      <c r="P26" s="681" t="s">
        <v>14</v>
      </c>
      <c r="Q26" s="679" t="s">
        <v>223</v>
      </c>
      <c r="R26" s="1541"/>
    </row>
    <row r="27" spans="2:18" ht="38.25">
      <c r="B27" s="53"/>
      <c r="C27" s="78">
        <v>5000</v>
      </c>
      <c r="D27" s="46" t="s">
        <v>3</v>
      </c>
      <c r="E27" s="45" t="s">
        <v>37</v>
      </c>
      <c r="F27" s="50"/>
      <c r="G27" s="78">
        <v>5000</v>
      </c>
      <c r="H27" s="64" t="s">
        <v>270</v>
      </c>
      <c r="I27" s="57" t="s">
        <v>278</v>
      </c>
      <c r="J27" s="57" t="s">
        <v>37</v>
      </c>
      <c r="K27" s="57" t="s">
        <v>258</v>
      </c>
      <c r="L27" s="57" t="s">
        <v>259</v>
      </c>
      <c r="M27" s="566" t="s">
        <v>260</v>
      </c>
      <c r="N27" s="592"/>
      <c r="O27" s="72"/>
      <c r="P27" s="681" t="s">
        <v>14</v>
      </c>
      <c r="Q27" s="679" t="s">
        <v>223</v>
      </c>
      <c r="R27" s="1541"/>
    </row>
    <row r="28" spans="2:18" ht="38.25">
      <c r="B28" s="73" t="s">
        <v>53</v>
      </c>
      <c r="C28" s="74">
        <v>75000</v>
      </c>
      <c r="D28" s="75"/>
      <c r="E28" s="81"/>
      <c r="F28" s="76" t="s">
        <v>133</v>
      </c>
      <c r="G28" s="74">
        <v>75000</v>
      </c>
      <c r="H28" s="77"/>
      <c r="I28" s="82"/>
      <c r="J28" s="82"/>
      <c r="K28" s="82"/>
      <c r="L28" s="82"/>
      <c r="M28" s="82"/>
      <c r="N28" s="72"/>
      <c r="O28" s="72"/>
      <c r="P28" s="82"/>
      <c r="Q28" s="82"/>
    </row>
    <row r="29" spans="2:18" ht="36" customHeight="1">
      <c r="B29" s="53"/>
      <c r="C29" s="78">
        <v>17000</v>
      </c>
      <c r="D29" s="46" t="s">
        <v>0</v>
      </c>
      <c r="E29" s="45" t="s">
        <v>37</v>
      </c>
      <c r="F29" s="83"/>
      <c r="G29" s="78">
        <v>17000</v>
      </c>
      <c r="H29" s="64" t="s">
        <v>256</v>
      </c>
      <c r="I29" s="57" t="s">
        <v>279</v>
      </c>
      <c r="J29" s="57" t="s">
        <v>37</v>
      </c>
      <c r="K29" s="57" t="s">
        <v>258</v>
      </c>
      <c r="L29" s="57" t="s">
        <v>280</v>
      </c>
      <c r="M29" s="566" t="s">
        <v>260</v>
      </c>
      <c r="N29" s="72" t="s">
        <v>14</v>
      </c>
      <c r="O29" s="674" t="s">
        <v>281</v>
      </c>
      <c r="P29" s="681" t="s">
        <v>14</v>
      </c>
      <c r="Q29" s="679" t="s">
        <v>223</v>
      </c>
      <c r="R29" s="1541">
        <f>4/7</f>
        <v>0.5714285714285714</v>
      </c>
    </row>
    <row r="30" spans="2:18" ht="38.25">
      <c r="B30" s="53"/>
      <c r="C30" s="78">
        <v>10000</v>
      </c>
      <c r="D30" s="46" t="s">
        <v>269</v>
      </c>
      <c r="E30" s="45" t="s">
        <v>37</v>
      </c>
      <c r="F30" s="50"/>
      <c r="G30" s="78">
        <v>10000</v>
      </c>
      <c r="H30" s="64" t="s">
        <v>256</v>
      </c>
      <c r="I30" s="57" t="s">
        <v>279</v>
      </c>
      <c r="J30" s="57" t="s">
        <v>37</v>
      </c>
      <c r="K30" s="57" t="s">
        <v>258</v>
      </c>
      <c r="L30" s="57" t="s">
        <v>280</v>
      </c>
      <c r="M30" s="566" t="s">
        <v>260</v>
      </c>
      <c r="N30" s="72" t="s">
        <v>37</v>
      </c>
      <c r="O30" s="72"/>
      <c r="P30" s="681" t="s">
        <v>14</v>
      </c>
      <c r="Q30" s="679" t="s">
        <v>223</v>
      </c>
      <c r="R30" s="1541"/>
    </row>
    <row r="31" spans="2:18" ht="38.25">
      <c r="B31" s="53"/>
      <c r="C31" s="78">
        <v>5000</v>
      </c>
      <c r="D31" s="46" t="s">
        <v>263</v>
      </c>
      <c r="E31" s="45" t="s">
        <v>37</v>
      </c>
      <c r="F31" s="50"/>
      <c r="G31" s="78">
        <v>5000</v>
      </c>
      <c r="H31" s="64" t="s">
        <v>256</v>
      </c>
      <c r="I31" s="57" t="s">
        <v>279</v>
      </c>
      <c r="J31" s="57" t="s">
        <v>37</v>
      </c>
      <c r="K31" s="57" t="s">
        <v>258</v>
      </c>
      <c r="L31" s="57" t="s">
        <v>280</v>
      </c>
      <c r="M31" s="566" t="s">
        <v>260</v>
      </c>
      <c r="N31" s="72" t="s">
        <v>37</v>
      </c>
      <c r="O31" s="72"/>
      <c r="P31" s="681" t="s">
        <v>37</v>
      </c>
      <c r="Q31" s="679" t="s">
        <v>223</v>
      </c>
      <c r="R31" s="1541"/>
    </row>
    <row r="32" spans="2:18" ht="38.25">
      <c r="B32" s="53"/>
      <c r="C32" s="78">
        <v>15000</v>
      </c>
      <c r="D32" s="46" t="s">
        <v>274</v>
      </c>
      <c r="E32" s="45" t="s">
        <v>37</v>
      </c>
      <c r="F32" s="50"/>
      <c r="G32" s="78">
        <v>15000</v>
      </c>
      <c r="H32" s="64" t="s">
        <v>256</v>
      </c>
      <c r="I32" s="57" t="s">
        <v>279</v>
      </c>
      <c r="J32" s="57" t="s">
        <v>37</v>
      </c>
      <c r="K32" s="57" t="s">
        <v>258</v>
      </c>
      <c r="L32" s="57" t="s">
        <v>280</v>
      </c>
      <c r="M32" s="566" t="s">
        <v>260</v>
      </c>
      <c r="N32" s="72" t="s">
        <v>14</v>
      </c>
      <c r="O32" s="72" t="s">
        <v>282</v>
      </c>
      <c r="P32" s="681" t="s">
        <v>14</v>
      </c>
      <c r="Q32" s="679" t="s">
        <v>223</v>
      </c>
      <c r="R32" s="1541"/>
    </row>
    <row r="33" spans="1:18" ht="38.25">
      <c r="B33" s="53"/>
      <c r="C33" s="78">
        <v>10000</v>
      </c>
      <c r="D33" s="46" t="s">
        <v>265</v>
      </c>
      <c r="E33" s="45" t="s">
        <v>37</v>
      </c>
      <c r="F33" s="50"/>
      <c r="G33" s="78">
        <v>10000</v>
      </c>
      <c r="H33" s="64" t="s">
        <v>256</v>
      </c>
      <c r="I33" s="57" t="s">
        <v>279</v>
      </c>
      <c r="J33" s="57" t="s">
        <v>37</v>
      </c>
      <c r="K33" s="57" t="s">
        <v>258</v>
      </c>
      <c r="L33" s="57" t="s">
        <v>280</v>
      </c>
      <c r="M33" s="566" t="s">
        <v>260</v>
      </c>
      <c r="N33" s="72" t="s">
        <v>37</v>
      </c>
      <c r="O33" s="72"/>
      <c r="P33" s="681" t="s">
        <v>37</v>
      </c>
      <c r="Q33" s="679" t="s">
        <v>223</v>
      </c>
      <c r="R33" s="1541"/>
    </row>
    <row r="34" spans="1:18" ht="38.25">
      <c r="B34" s="53"/>
      <c r="C34" s="78">
        <v>10000</v>
      </c>
      <c r="D34" s="46" t="s">
        <v>266</v>
      </c>
      <c r="E34" s="45" t="s">
        <v>37</v>
      </c>
      <c r="F34" s="50"/>
      <c r="G34" s="78">
        <v>10000</v>
      </c>
      <c r="H34" s="64" t="s">
        <v>256</v>
      </c>
      <c r="I34" s="57" t="s">
        <v>279</v>
      </c>
      <c r="J34" s="57" t="s">
        <v>37</v>
      </c>
      <c r="K34" s="57" t="s">
        <v>258</v>
      </c>
      <c r="L34" s="57" t="s">
        <v>280</v>
      </c>
      <c r="M34" s="566" t="s">
        <v>260</v>
      </c>
      <c r="N34" s="72" t="s">
        <v>14</v>
      </c>
      <c r="O34" s="72" t="s">
        <v>282</v>
      </c>
      <c r="P34" s="681" t="s">
        <v>14</v>
      </c>
      <c r="Q34" s="679" t="s">
        <v>223</v>
      </c>
      <c r="R34" s="1541"/>
    </row>
    <row r="35" spans="1:18" ht="38.25">
      <c r="B35" s="53"/>
      <c r="C35" s="78">
        <v>8000</v>
      </c>
      <c r="D35" s="46" t="s">
        <v>174</v>
      </c>
      <c r="E35" s="45" t="s">
        <v>37</v>
      </c>
      <c r="F35" s="50"/>
      <c r="G35" s="78">
        <v>8000</v>
      </c>
      <c r="H35" s="64" t="s">
        <v>256</v>
      </c>
      <c r="I35" s="57" t="s">
        <v>279</v>
      </c>
      <c r="J35" s="57" t="s">
        <v>37</v>
      </c>
      <c r="K35" s="57" t="s">
        <v>258</v>
      </c>
      <c r="L35" s="57" t="s">
        <v>280</v>
      </c>
      <c r="M35" s="566" t="s">
        <v>260</v>
      </c>
      <c r="N35" s="72" t="s">
        <v>37</v>
      </c>
      <c r="O35" s="72"/>
      <c r="P35" s="681" t="s">
        <v>37</v>
      </c>
      <c r="Q35" s="679" t="s">
        <v>223</v>
      </c>
      <c r="R35" s="1541"/>
    </row>
    <row r="36" spans="1:18" ht="51">
      <c r="B36" s="73" t="s">
        <v>54</v>
      </c>
      <c r="C36" s="74">
        <v>520000</v>
      </c>
      <c r="D36" s="75"/>
      <c r="E36" s="81"/>
      <c r="F36" s="76" t="s">
        <v>134</v>
      </c>
      <c r="G36" s="74">
        <v>520000</v>
      </c>
      <c r="H36" s="77"/>
      <c r="I36" s="82"/>
      <c r="J36" s="82"/>
      <c r="K36" s="82"/>
      <c r="L36" s="82"/>
      <c r="M36" s="82"/>
      <c r="N36" s="72"/>
      <c r="O36" s="72"/>
      <c r="P36" s="82"/>
      <c r="Q36" s="82"/>
    </row>
    <row r="37" spans="1:18" ht="90">
      <c r="B37" s="53"/>
      <c r="C37" s="78">
        <v>90000</v>
      </c>
      <c r="D37" s="46" t="s">
        <v>0</v>
      </c>
      <c r="E37" s="45" t="s">
        <v>37</v>
      </c>
      <c r="F37" s="83"/>
      <c r="G37" s="78">
        <v>90000</v>
      </c>
      <c r="H37" s="79" t="s">
        <v>283</v>
      </c>
      <c r="I37" s="57" t="s">
        <v>284</v>
      </c>
      <c r="J37" s="57" t="s">
        <v>37</v>
      </c>
      <c r="K37" s="57" t="s">
        <v>258</v>
      </c>
      <c r="L37" s="57" t="s">
        <v>285</v>
      </c>
      <c r="M37" s="566" t="s">
        <v>286</v>
      </c>
      <c r="N37" s="72" t="s">
        <v>37</v>
      </c>
      <c r="O37" s="674" t="s">
        <v>287</v>
      </c>
      <c r="P37" s="681" t="s">
        <v>14</v>
      </c>
      <c r="Q37" s="679" t="s">
        <v>223</v>
      </c>
      <c r="R37" s="1541">
        <v>1</v>
      </c>
    </row>
    <row r="38" spans="1:18" ht="63.75">
      <c r="B38" s="53"/>
      <c r="C38" s="78">
        <v>90000</v>
      </c>
      <c r="D38" s="46" t="s">
        <v>269</v>
      </c>
      <c r="E38" s="45" t="s">
        <v>37</v>
      </c>
      <c r="F38" s="50"/>
      <c r="G38" s="78">
        <v>90000</v>
      </c>
      <c r="H38" s="64" t="s">
        <v>283</v>
      </c>
      <c r="I38" s="57" t="s">
        <v>284</v>
      </c>
      <c r="J38" s="57" t="s">
        <v>37</v>
      </c>
      <c r="K38" s="57" t="s">
        <v>258</v>
      </c>
      <c r="L38" s="57" t="s">
        <v>285</v>
      </c>
      <c r="M38" s="566" t="s">
        <v>286</v>
      </c>
      <c r="N38" s="72" t="s">
        <v>37</v>
      </c>
      <c r="O38" s="72"/>
      <c r="P38" s="681" t="s">
        <v>14</v>
      </c>
      <c r="Q38" s="679" t="s">
        <v>223</v>
      </c>
      <c r="R38" s="1541"/>
    </row>
    <row r="39" spans="1:18" ht="63.75">
      <c r="B39" s="53"/>
      <c r="C39" s="78">
        <v>70000</v>
      </c>
      <c r="D39" s="46" t="s">
        <v>263</v>
      </c>
      <c r="E39" s="45" t="s">
        <v>37</v>
      </c>
      <c r="F39" s="50"/>
      <c r="G39" s="78">
        <v>70000</v>
      </c>
      <c r="H39" s="64" t="s">
        <v>283</v>
      </c>
      <c r="I39" s="57" t="s">
        <v>284</v>
      </c>
      <c r="J39" s="57" t="s">
        <v>37</v>
      </c>
      <c r="K39" s="57" t="s">
        <v>258</v>
      </c>
      <c r="L39" s="57" t="s">
        <v>285</v>
      </c>
      <c r="M39" s="566" t="s">
        <v>286</v>
      </c>
      <c r="N39" s="72" t="s">
        <v>37</v>
      </c>
      <c r="O39" s="72" t="s">
        <v>282</v>
      </c>
      <c r="P39" s="681" t="s">
        <v>14</v>
      </c>
      <c r="Q39" s="679" t="s">
        <v>223</v>
      </c>
      <c r="R39" s="1541"/>
    </row>
    <row r="40" spans="1:18" ht="63.75">
      <c r="B40" s="53"/>
      <c r="C40" s="78">
        <v>80000</v>
      </c>
      <c r="D40" s="46" t="s">
        <v>274</v>
      </c>
      <c r="E40" s="45" t="s">
        <v>37</v>
      </c>
      <c r="F40" s="50"/>
      <c r="G40" s="78">
        <v>80000</v>
      </c>
      <c r="H40" s="64" t="s">
        <v>283</v>
      </c>
      <c r="I40" s="57" t="s">
        <v>284</v>
      </c>
      <c r="J40" s="57" t="s">
        <v>37</v>
      </c>
      <c r="K40" s="57" t="s">
        <v>258</v>
      </c>
      <c r="L40" s="57" t="s">
        <v>285</v>
      </c>
      <c r="M40" s="566" t="s">
        <v>286</v>
      </c>
      <c r="N40" s="72" t="s">
        <v>37</v>
      </c>
      <c r="O40" s="72" t="s">
        <v>282</v>
      </c>
      <c r="P40" s="681" t="s">
        <v>14</v>
      </c>
      <c r="Q40" s="679" t="s">
        <v>223</v>
      </c>
      <c r="R40" s="1541"/>
    </row>
    <row r="41" spans="1:18" ht="63.75">
      <c r="B41" s="53"/>
      <c r="C41" s="78">
        <v>80000</v>
      </c>
      <c r="D41" s="46" t="s">
        <v>265</v>
      </c>
      <c r="E41" s="45" t="s">
        <v>37</v>
      </c>
      <c r="F41" s="50"/>
      <c r="G41" s="78">
        <v>80000</v>
      </c>
      <c r="H41" s="64" t="s">
        <v>283</v>
      </c>
      <c r="I41" s="57" t="s">
        <v>284</v>
      </c>
      <c r="J41" s="57" t="s">
        <v>37</v>
      </c>
      <c r="K41" s="57" t="s">
        <v>258</v>
      </c>
      <c r="L41" s="57" t="s">
        <v>285</v>
      </c>
      <c r="M41" s="566" t="s">
        <v>286</v>
      </c>
      <c r="N41" s="72" t="s">
        <v>37</v>
      </c>
      <c r="O41" s="72"/>
      <c r="P41" s="681" t="s">
        <v>14</v>
      </c>
      <c r="Q41" s="679" t="s">
        <v>223</v>
      </c>
      <c r="R41" s="1541"/>
    </row>
    <row r="42" spans="1:18" ht="63.75">
      <c r="B42" s="53"/>
      <c r="C42" s="78">
        <v>75000</v>
      </c>
      <c r="D42" s="46" t="s">
        <v>266</v>
      </c>
      <c r="E42" s="45" t="s">
        <v>37</v>
      </c>
      <c r="F42" s="50"/>
      <c r="G42" s="78">
        <v>75000</v>
      </c>
      <c r="H42" s="64" t="s">
        <v>283</v>
      </c>
      <c r="I42" s="57" t="s">
        <v>284</v>
      </c>
      <c r="J42" s="57" t="s">
        <v>37</v>
      </c>
      <c r="K42" s="57" t="s">
        <v>258</v>
      </c>
      <c r="L42" s="57" t="s">
        <v>285</v>
      </c>
      <c r="M42" s="566" t="s">
        <v>286</v>
      </c>
      <c r="N42" s="72" t="s">
        <v>161</v>
      </c>
      <c r="O42" s="72" t="s">
        <v>288</v>
      </c>
      <c r="P42" s="681" t="s">
        <v>14</v>
      </c>
      <c r="Q42" s="679" t="s">
        <v>223</v>
      </c>
      <c r="R42" s="1541"/>
    </row>
    <row r="43" spans="1:18" ht="63.75">
      <c r="B43" s="53"/>
      <c r="C43" s="78">
        <v>35000</v>
      </c>
      <c r="D43" s="46" t="s">
        <v>289</v>
      </c>
      <c r="E43" s="45" t="s">
        <v>37</v>
      </c>
      <c r="F43" s="50"/>
      <c r="G43" s="78">
        <v>35000</v>
      </c>
      <c r="H43" s="64" t="s">
        <v>283</v>
      </c>
      <c r="I43" s="57" t="s">
        <v>284</v>
      </c>
      <c r="J43" s="57" t="s">
        <v>37</v>
      </c>
      <c r="K43" s="57" t="s">
        <v>258</v>
      </c>
      <c r="L43" s="57" t="s">
        <v>285</v>
      </c>
      <c r="M43" s="566" t="s">
        <v>286</v>
      </c>
      <c r="N43" s="72" t="s">
        <v>37</v>
      </c>
      <c r="O43" s="72" t="s">
        <v>282</v>
      </c>
      <c r="P43" s="681" t="s">
        <v>14</v>
      </c>
      <c r="Q43" s="679" t="s">
        <v>223</v>
      </c>
      <c r="R43" s="1541"/>
    </row>
    <row r="44" spans="1:18" ht="63.75">
      <c r="B44" s="73" t="s">
        <v>119</v>
      </c>
      <c r="C44" s="74">
        <v>300000</v>
      </c>
      <c r="D44" s="75"/>
      <c r="E44" s="81"/>
      <c r="F44" s="76" t="s">
        <v>135</v>
      </c>
      <c r="G44" s="74">
        <v>300000</v>
      </c>
      <c r="H44" s="77"/>
      <c r="I44" s="82"/>
      <c r="J44" s="82"/>
      <c r="K44" s="82"/>
      <c r="L44" s="82"/>
      <c r="M44" s="82"/>
      <c r="N44" s="72"/>
      <c r="O44" s="72"/>
      <c r="P44" s="82"/>
      <c r="Q44" s="82"/>
    </row>
    <row r="45" spans="1:18" ht="120">
      <c r="B45" s="53"/>
      <c r="C45" s="78">
        <v>65000</v>
      </c>
      <c r="D45" s="46" t="s">
        <v>117</v>
      </c>
      <c r="E45" s="45" t="s">
        <v>37</v>
      </c>
      <c r="F45" s="83"/>
      <c r="G45" s="78">
        <v>65000</v>
      </c>
      <c r="H45" s="64" t="s">
        <v>290</v>
      </c>
      <c r="I45" s="57" t="s">
        <v>284</v>
      </c>
      <c r="J45" s="57" t="s">
        <v>37</v>
      </c>
      <c r="K45" s="57" t="s">
        <v>258</v>
      </c>
      <c r="L45" s="57" t="s">
        <v>285</v>
      </c>
      <c r="M45" s="566" t="s">
        <v>286</v>
      </c>
      <c r="N45" s="72" t="s">
        <v>161</v>
      </c>
      <c r="O45" s="674" t="s">
        <v>291</v>
      </c>
      <c r="P45" s="681" t="s">
        <v>37</v>
      </c>
      <c r="Q45" s="677" t="s">
        <v>288</v>
      </c>
      <c r="R45" s="1541">
        <f>2/6</f>
        <v>0.33333333333333331</v>
      </c>
    </row>
    <row r="46" spans="1:18" ht="63.75">
      <c r="A46" s="43" t="s">
        <v>292</v>
      </c>
      <c r="B46" s="53"/>
      <c r="C46" s="78">
        <v>60000</v>
      </c>
      <c r="D46" s="46" t="s">
        <v>269</v>
      </c>
      <c r="E46" s="45" t="s">
        <v>37</v>
      </c>
      <c r="F46" s="50"/>
      <c r="G46" s="78">
        <v>60000</v>
      </c>
      <c r="H46" s="64" t="s">
        <v>290</v>
      </c>
      <c r="I46" s="57" t="s">
        <v>284</v>
      </c>
      <c r="J46" s="57" t="s">
        <v>37</v>
      </c>
      <c r="K46" s="57" t="s">
        <v>258</v>
      </c>
      <c r="L46" s="57" t="s">
        <v>285</v>
      </c>
      <c r="M46" s="566" t="s">
        <v>286</v>
      </c>
      <c r="N46" s="72" t="s">
        <v>37</v>
      </c>
      <c r="O46" s="72"/>
      <c r="P46" s="681" t="s">
        <v>37</v>
      </c>
      <c r="Q46" s="679" t="s">
        <v>223</v>
      </c>
      <c r="R46" s="1541"/>
    </row>
    <row r="47" spans="1:18" ht="63.75">
      <c r="B47" s="53"/>
      <c r="C47" s="78">
        <v>45000</v>
      </c>
      <c r="D47" s="46" t="s">
        <v>263</v>
      </c>
      <c r="E47" s="45" t="s">
        <v>37</v>
      </c>
      <c r="F47" s="50"/>
      <c r="G47" s="78">
        <v>45000</v>
      </c>
      <c r="H47" s="64" t="s">
        <v>290</v>
      </c>
      <c r="I47" s="57" t="s">
        <v>284</v>
      </c>
      <c r="J47" s="57" t="s">
        <v>37</v>
      </c>
      <c r="K47" s="57" t="s">
        <v>258</v>
      </c>
      <c r="L47" s="57" t="s">
        <v>285</v>
      </c>
      <c r="M47" s="566" t="s">
        <v>286</v>
      </c>
      <c r="N47" s="72" t="s">
        <v>37</v>
      </c>
      <c r="O47" s="72"/>
      <c r="P47" s="681" t="s">
        <v>37</v>
      </c>
      <c r="Q47" s="679" t="s">
        <v>223</v>
      </c>
      <c r="R47" s="1541"/>
    </row>
    <row r="48" spans="1:18" ht="63.75">
      <c r="B48" s="53"/>
      <c r="C48" s="78">
        <v>50000</v>
      </c>
      <c r="D48" s="46" t="s">
        <v>274</v>
      </c>
      <c r="E48" s="45" t="s">
        <v>37</v>
      </c>
      <c r="F48" s="50"/>
      <c r="G48" s="78">
        <v>50000</v>
      </c>
      <c r="H48" s="64" t="s">
        <v>290</v>
      </c>
      <c r="I48" s="57" t="s">
        <v>284</v>
      </c>
      <c r="J48" s="57" t="s">
        <v>37</v>
      </c>
      <c r="K48" s="57" t="s">
        <v>258</v>
      </c>
      <c r="L48" s="57" t="s">
        <v>285</v>
      </c>
      <c r="M48" s="566" t="s">
        <v>286</v>
      </c>
      <c r="N48" s="72" t="s">
        <v>37</v>
      </c>
      <c r="O48" s="72"/>
      <c r="P48" s="681" t="s">
        <v>37</v>
      </c>
      <c r="Q48" s="679" t="s">
        <v>223</v>
      </c>
      <c r="R48" s="1541"/>
    </row>
    <row r="49" spans="2:18" ht="63.75">
      <c r="B49" s="53"/>
      <c r="C49" s="78">
        <v>45000</v>
      </c>
      <c r="D49" s="46" t="s">
        <v>265</v>
      </c>
      <c r="E49" s="45" t="s">
        <v>37</v>
      </c>
      <c r="F49" s="50"/>
      <c r="G49" s="78">
        <v>45000</v>
      </c>
      <c r="H49" s="64" t="s">
        <v>290</v>
      </c>
      <c r="I49" s="57" t="s">
        <v>284</v>
      </c>
      <c r="J49" s="57" t="s">
        <v>37</v>
      </c>
      <c r="K49" s="57" t="s">
        <v>258</v>
      </c>
      <c r="L49" s="57" t="s">
        <v>285</v>
      </c>
      <c r="M49" s="566" t="s">
        <v>286</v>
      </c>
      <c r="N49" s="72" t="s">
        <v>37</v>
      </c>
      <c r="O49" s="72"/>
      <c r="P49" s="681" t="s">
        <v>14</v>
      </c>
      <c r="Q49" s="679" t="s">
        <v>223</v>
      </c>
      <c r="R49" s="1541"/>
    </row>
    <row r="50" spans="2:18" ht="63.75">
      <c r="B50" s="53"/>
      <c r="C50" s="78">
        <v>35000</v>
      </c>
      <c r="D50" s="46" t="s">
        <v>266</v>
      </c>
      <c r="E50" s="45" t="s">
        <v>37</v>
      </c>
      <c r="F50" s="50"/>
      <c r="G50" s="78">
        <v>35000</v>
      </c>
      <c r="H50" s="64" t="s">
        <v>290</v>
      </c>
      <c r="I50" s="57" t="s">
        <v>284</v>
      </c>
      <c r="J50" s="57" t="s">
        <v>37</v>
      </c>
      <c r="K50" s="57" t="s">
        <v>258</v>
      </c>
      <c r="L50" s="57" t="s">
        <v>285</v>
      </c>
      <c r="M50" s="566" t="s">
        <v>286</v>
      </c>
      <c r="N50" s="72" t="s">
        <v>14</v>
      </c>
      <c r="O50" s="72"/>
      <c r="P50" s="681" t="s">
        <v>14</v>
      </c>
      <c r="Q50" s="679" t="s">
        <v>223</v>
      </c>
      <c r="R50" s="1541"/>
    </row>
    <row r="51" spans="2:18" ht="76.5">
      <c r="B51" s="73" t="s">
        <v>55</v>
      </c>
      <c r="C51" s="74">
        <v>65000</v>
      </c>
      <c r="D51" s="75"/>
      <c r="E51" s="81"/>
      <c r="F51" s="76" t="s">
        <v>136</v>
      </c>
      <c r="G51" s="74">
        <v>65000</v>
      </c>
      <c r="H51" s="77"/>
      <c r="I51" s="82"/>
      <c r="J51" s="82"/>
      <c r="K51" s="82"/>
      <c r="L51" s="82"/>
      <c r="M51" s="82"/>
      <c r="N51" s="72"/>
      <c r="O51" s="72"/>
      <c r="P51" s="72"/>
      <c r="Q51" s="72"/>
    </row>
    <row r="52" spans="2:18" ht="135">
      <c r="B52" s="53"/>
      <c r="C52" s="78">
        <v>60000</v>
      </c>
      <c r="D52" s="46" t="s">
        <v>0</v>
      </c>
      <c r="E52" s="45" t="s">
        <v>37</v>
      </c>
      <c r="F52" s="83"/>
      <c r="G52" s="78">
        <v>60000</v>
      </c>
      <c r="H52" s="64" t="s">
        <v>290</v>
      </c>
      <c r="I52" s="57" t="s">
        <v>284</v>
      </c>
      <c r="J52" s="57" t="s">
        <v>37</v>
      </c>
      <c r="K52" s="57" t="s">
        <v>258</v>
      </c>
      <c r="L52" s="57" t="s">
        <v>285</v>
      </c>
      <c r="M52" s="566" t="s">
        <v>293</v>
      </c>
      <c r="N52" s="72" t="s">
        <v>14</v>
      </c>
      <c r="O52" s="674" t="s">
        <v>294</v>
      </c>
      <c r="P52" s="681" t="s">
        <v>14</v>
      </c>
      <c r="Q52" s="679" t="s">
        <v>223</v>
      </c>
      <c r="R52" s="1541">
        <f>4/7</f>
        <v>0.5714285714285714</v>
      </c>
    </row>
    <row r="53" spans="2:18" ht="63.75">
      <c r="B53" s="53"/>
      <c r="C53" s="78">
        <v>20000</v>
      </c>
      <c r="D53" s="46" t="s">
        <v>269</v>
      </c>
      <c r="E53" s="45" t="s">
        <v>37</v>
      </c>
      <c r="F53" s="50"/>
      <c r="G53" s="78">
        <v>20000</v>
      </c>
      <c r="H53" s="64" t="s">
        <v>290</v>
      </c>
      <c r="I53" s="57" t="s">
        <v>284</v>
      </c>
      <c r="J53" s="57" t="s">
        <v>37</v>
      </c>
      <c r="K53" s="57" t="s">
        <v>258</v>
      </c>
      <c r="L53" s="57" t="s">
        <v>285</v>
      </c>
      <c r="M53" s="566" t="s">
        <v>293</v>
      </c>
      <c r="N53" s="72" t="s">
        <v>37</v>
      </c>
      <c r="O53" s="72"/>
      <c r="P53" s="681" t="s">
        <v>37</v>
      </c>
      <c r="Q53" s="679" t="s">
        <v>223</v>
      </c>
      <c r="R53" s="1541"/>
    </row>
    <row r="54" spans="2:18" ht="63.75">
      <c r="B54" s="53"/>
      <c r="C54" s="78">
        <v>25000</v>
      </c>
      <c r="D54" s="46" t="s">
        <v>263</v>
      </c>
      <c r="E54" s="45" t="s">
        <v>37</v>
      </c>
      <c r="F54" s="50"/>
      <c r="G54" s="78">
        <v>25000</v>
      </c>
      <c r="H54" s="64" t="s">
        <v>290</v>
      </c>
      <c r="I54" s="57" t="s">
        <v>284</v>
      </c>
      <c r="J54" s="57" t="s">
        <v>37</v>
      </c>
      <c r="K54" s="57" t="s">
        <v>258</v>
      </c>
      <c r="L54" s="57" t="s">
        <v>285</v>
      </c>
      <c r="M54" s="566" t="s">
        <v>293</v>
      </c>
      <c r="N54" s="72" t="s">
        <v>37</v>
      </c>
      <c r="O54" s="674" t="s">
        <v>295</v>
      </c>
      <c r="P54" s="681" t="s">
        <v>37</v>
      </c>
      <c r="Q54" s="679" t="s">
        <v>223</v>
      </c>
      <c r="R54" s="1541"/>
    </row>
    <row r="55" spans="2:18" ht="63.75">
      <c r="B55" s="53"/>
      <c r="C55" s="78">
        <v>25000</v>
      </c>
      <c r="D55" s="46" t="s">
        <v>274</v>
      </c>
      <c r="E55" s="45" t="s">
        <v>37</v>
      </c>
      <c r="F55" s="50"/>
      <c r="G55" s="78">
        <v>25000</v>
      </c>
      <c r="H55" s="64" t="s">
        <v>290</v>
      </c>
      <c r="I55" s="57" t="s">
        <v>284</v>
      </c>
      <c r="J55" s="57" t="s">
        <v>37</v>
      </c>
      <c r="K55" s="57" t="s">
        <v>258</v>
      </c>
      <c r="L55" s="57" t="s">
        <v>285</v>
      </c>
      <c r="M55" s="566" t="s">
        <v>293</v>
      </c>
      <c r="N55" s="72" t="s">
        <v>296</v>
      </c>
      <c r="O55" s="72" t="s">
        <v>297</v>
      </c>
      <c r="P55" s="681" t="s">
        <v>14</v>
      </c>
      <c r="Q55" s="679" t="s">
        <v>223</v>
      </c>
      <c r="R55" s="1541"/>
    </row>
    <row r="56" spans="2:18" ht="63.75">
      <c r="B56" s="53"/>
      <c r="C56" s="78">
        <v>20000</v>
      </c>
      <c r="D56" s="46" t="s">
        <v>265</v>
      </c>
      <c r="E56" s="45" t="s">
        <v>37</v>
      </c>
      <c r="F56" s="50"/>
      <c r="G56" s="78">
        <v>20000</v>
      </c>
      <c r="H56" s="64" t="s">
        <v>290</v>
      </c>
      <c r="I56" s="57" t="s">
        <v>284</v>
      </c>
      <c r="J56" s="57" t="s">
        <v>37</v>
      </c>
      <c r="K56" s="57" t="s">
        <v>258</v>
      </c>
      <c r="L56" s="57" t="s">
        <v>285</v>
      </c>
      <c r="M56" s="566" t="s">
        <v>293</v>
      </c>
      <c r="N56" s="72" t="s">
        <v>37</v>
      </c>
      <c r="O56" s="72"/>
      <c r="P56" s="681" t="s">
        <v>14</v>
      </c>
      <c r="Q56" s="679" t="s">
        <v>223</v>
      </c>
      <c r="R56" s="1541"/>
    </row>
    <row r="57" spans="2:18" ht="63.75">
      <c r="B57" s="53"/>
      <c r="C57" s="78">
        <v>30000</v>
      </c>
      <c r="D57" s="46" t="s">
        <v>266</v>
      </c>
      <c r="E57" s="45" t="s">
        <v>37</v>
      </c>
      <c r="F57" s="50"/>
      <c r="G57" s="78">
        <v>30000</v>
      </c>
      <c r="H57" s="64" t="s">
        <v>290</v>
      </c>
      <c r="I57" s="57" t="s">
        <v>284</v>
      </c>
      <c r="J57" s="57" t="s">
        <v>37</v>
      </c>
      <c r="K57" s="57" t="s">
        <v>258</v>
      </c>
      <c r="L57" s="57" t="s">
        <v>285</v>
      </c>
      <c r="M57" s="566" t="s">
        <v>293</v>
      </c>
      <c r="N57" s="72" t="s">
        <v>14</v>
      </c>
      <c r="O57" s="72" t="s">
        <v>267</v>
      </c>
      <c r="P57" s="681" t="s">
        <v>14</v>
      </c>
      <c r="Q57" s="679" t="s">
        <v>223</v>
      </c>
      <c r="R57" s="1541"/>
    </row>
    <row r="58" spans="2:18" ht="63.75">
      <c r="B58" s="53"/>
      <c r="C58" s="78">
        <v>20000</v>
      </c>
      <c r="D58" s="46" t="s">
        <v>174</v>
      </c>
      <c r="E58" s="45" t="s">
        <v>37</v>
      </c>
      <c r="F58" s="50"/>
      <c r="G58" s="78">
        <v>20000</v>
      </c>
      <c r="H58" s="64" t="s">
        <v>290</v>
      </c>
      <c r="I58" s="57" t="s">
        <v>284</v>
      </c>
      <c r="J58" s="57" t="s">
        <v>37</v>
      </c>
      <c r="K58" s="57" t="s">
        <v>258</v>
      </c>
      <c r="L58" s="57" t="s">
        <v>285</v>
      </c>
      <c r="M58" s="566" t="s">
        <v>293</v>
      </c>
      <c r="N58" s="72" t="s">
        <v>37</v>
      </c>
      <c r="O58" s="72"/>
      <c r="P58" s="681" t="s">
        <v>37</v>
      </c>
      <c r="Q58" s="679" t="s">
        <v>223</v>
      </c>
      <c r="R58" s="1541"/>
    </row>
    <row r="59" spans="2:18" ht="89.25">
      <c r="B59" s="73" t="s">
        <v>56</v>
      </c>
      <c r="C59" s="74">
        <v>65000</v>
      </c>
      <c r="D59" s="75"/>
      <c r="E59" s="81"/>
      <c r="F59" s="76" t="s">
        <v>137</v>
      </c>
      <c r="G59" s="74">
        <v>65000</v>
      </c>
      <c r="H59" s="77"/>
      <c r="I59" s="82"/>
      <c r="J59" s="82"/>
      <c r="K59" s="82"/>
      <c r="L59" s="82"/>
      <c r="M59" s="82"/>
      <c r="N59" s="72"/>
      <c r="O59" s="674"/>
      <c r="P59" s="82"/>
      <c r="Q59" s="82"/>
    </row>
    <row r="60" spans="2:18" ht="105">
      <c r="B60" s="53" t="s">
        <v>117</v>
      </c>
      <c r="C60" s="78">
        <v>40000</v>
      </c>
      <c r="D60" s="45"/>
      <c r="E60" s="45" t="s">
        <v>37</v>
      </c>
      <c r="F60" s="83"/>
      <c r="G60" s="78">
        <v>40000</v>
      </c>
      <c r="H60" s="64" t="s">
        <v>256</v>
      </c>
      <c r="I60" s="57" t="s">
        <v>279</v>
      </c>
      <c r="J60" s="57" t="s">
        <v>37</v>
      </c>
      <c r="K60" s="57" t="s">
        <v>258</v>
      </c>
      <c r="L60" s="57" t="s">
        <v>259</v>
      </c>
      <c r="M60" s="566" t="s">
        <v>260</v>
      </c>
      <c r="N60" s="72" t="s">
        <v>14</v>
      </c>
      <c r="O60" s="674" t="s">
        <v>298</v>
      </c>
      <c r="P60" s="681" t="s">
        <v>14</v>
      </c>
      <c r="Q60" s="677" t="s">
        <v>288</v>
      </c>
      <c r="R60" s="1221">
        <v>1</v>
      </c>
    </row>
    <row r="61" spans="2:18" ht="38.25">
      <c r="B61" s="73" t="s">
        <v>57</v>
      </c>
      <c r="C61" s="74">
        <v>65000</v>
      </c>
      <c r="D61" s="75"/>
      <c r="E61" s="81"/>
      <c r="F61" s="76" t="s">
        <v>138</v>
      </c>
      <c r="G61" s="74">
        <v>65000</v>
      </c>
      <c r="H61" s="77"/>
      <c r="I61" s="82"/>
      <c r="J61" s="82"/>
      <c r="K61" s="82"/>
      <c r="L61" s="82"/>
      <c r="M61" s="82"/>
      <c r="N61" s="72"/>
      <c r="O61" s="72"/>
      <c r="P61" s="82"/>
      <c r="Q61" s="82"/>
    </row>
    <row r="62" spans="2:18" ht="38.25">
      <c r="B62" s="53"/>
      <c r="C62" s="78">
        <v>6000</v>
      </c>
      <c r="D62" s="46" t="s">
        <v>269</v>
      </c>
      <c r="E62" s="45" t="s">
        <v>37</v>
      </c>
      <c r="F62" s="50"/>
      <c r="G62" s="78">
        <v>6000</v>
      </c>
      <c r="H62" s="64" t="s">
        <v>256</v>
      </c>
      <c r="I62" s="57" t="s">
        <v>279</v>
      </c>
      <c r="J62" s="57" t="s">
        <v>37</v>
      </c>
      <c r="K62" s="57" t="s">
        <v>258</v>
      </c>
      <c r="L62" s="57" t="s">
        <v>259</v>
      </c>
      <c r="M62" s="566" t="s">
        <v>260</v>
      </c>
      <c r="N62" s="72" t="s">
        <v>37</v>
      </c>
      <c r="O62" s="72"/>
      <c r="P62" s="681" t="s">
        <v>37</v>
      </c>
      <c r="Q62" s="679" t="s">
        <v>223</v>
      </c>
      <c r="R62" s="1541">
        <f>1/6</f>
        <v>0.16666666666666666</v>
      </c>
    </row>
    <row r="63" spans="2:18" ht="38.25">
      <c r="B63" s="53"/>
      <c r="C63" s="78">
        <v>3000</v>
      </c>
      <c r="D63" s="46" t="s">
        <v>263</v>
      </c>
      <c r="E63" s="45" t="s">
        <v>37</v>
      </c>
      <c r="F63" s="50"/>
      <c r="G63" s="78">
        <v>3000</v>
      </c>
      <c r="H63" s="64" t="s">
        <v>256</v>
      </c>
      <c r="I63" s="57" t="s">
        <v>279</v>
      </c>
      <c r="J63" s="57" t="s">
        <v>37</v>
      </c>
      <c r="K63" s="57" t="s">
        <v>258</v>
      </c>
      <c r="L63" s="57" t="s">
        <v>259</v>
      </c>
      <c r="M63" s="566" t="s">
        <v>260</v>
      </c>
      <c r="N63" s="72" t="s">
        <v>37</v>
      </c>
      <c r="O63" s="72"/>
      <c r="P63" s="681" t="s">
        <v>37</v>
      </c>
      <c r="Q63" s="679" t="s">
        <v>223</v>
      </c>
      <c r="R63" s="1541"/>
    </row>
    <row r="64" spans="2:18" ht="38.25">
      <c r="B64" s="53"/>
      <c r="C64" s="78">
        <v>10000</v>
      </c>
      <c r="D64" s="46" t="s">
        <v>274</v>
      </c>
      <c r="E64" s="45" t="s">
        <v>37</v>
      </c>
      <c r="F64" s="50"/>
      <c r="G64" s="78">
        <v>10000</v>
      </c>
      <c r="H64" s="64" t="s">
        <v>256</v>
      </c>
      <c r="I64" s="57" t="s">
        <v>279</v>
      </c>
      <c r="J64" s="57" t="s">
        <v>37</v>
      </c>
      <c r="K64" s="57" t="s">
        <v>258</v>
      </c>
      <c r="L64" s="57" t="s">
        <v>259</v>
      </c>
      <c r="M64" s="566" t="s">
        <v>260</v>
      </c>
      <c r="N64" s="72" t="s">
        <v>37</v>
      </c>
      <c r="O64" s="72"/>
      <c r="P64" s="681" t="s">
        <v>37</v>
      </c>
      <c r="Q64" s="679" t="s">
        <v>223</v>
      </c>
      <c r="R64" s="1541"/>
    </row>
    <row r="65" spans="2:18" ht="38.25">
      <c r="B65" s="53"/>
      <c r="C65" s="78">
        <v>6000</v>
      </c>
      <c r="D65" s="46" t="s">
        <v>265</v>
      </c>
      <c r="E65" s="45" t="s">
        <v>37</v>
      </c>
      <c r="F65" s="50"/>
      <c r="G65" s="78">
        <v>6000</v>
      </c>
      <c r="H65" s="64" t="s">
        <v>256</v>
      </c>
      <c r="I65" s="57" t="s">
        <v>279</v>
      </c>
      <c r="J65" s="57" t="s">
        <v>37</v>
      </c>
      <c r="K65" s="57" t="s">
        <v>258</v>
      </c>
      <c r="L65" s="57" t="s">
        <v>259</v>
      </c>
      <c r="M65" s="566" t="s">
        <v>260</v>
      </c>
      <c r="N65" s="72" t="s">
        <v>37</v>
      </c>
      <c r="O65" s="72"/>
      <c r="P65" s="681" t="s">
        <v>37</v>
      </c>
      <c r="Q65" s="679" t="s">
        <v>223</v>
      </c>
      <c r="R65" s="1541"/>
    </row>
    <row r="66" spans="2:18" ht="38.25">
      <c r="B66" s="53"/>
      <c r="C66" s="78">
        <v>5000</v>
      </c>
      <c r="D66" s="46" t="s">
        <v>266</v>
      </c>
      <c r="E66" s="45" t="s">
        <v>37</v>
      </c>
      <c r="F66" s="50"/>
      <c r="G66" s="78">
        <v>8000</v>
      </c>
      <c r="H66" s="64" t="s">
        <v>256</v>
      </c>
      <c r="I66" s="57" t="s">
        <v>279</v>
      </c>
      <c r="J66" s="57" t="s">
        <v>37</v>
      </c>
      <c r="K66" s="57" t="s">
        <v>258</v>
      </c>
      <c r="L66" s="57" t="s">
        <v>259</v>
      </c>
      <c r="M66" s="566" t="s">
        <v>260</v>
      </c>
      <c r="N66" s="72" t="s">
        <v>14</v>
      </c>
      <c r="O66" s="72" t="s">
        <v>267</v>
      </c>
      <c r="P66" s="681" t="s">
        <v>14</v>
      </c>
      <c r="Q66" s="679" t="s">
        <v>223</v>
      </c>
      <c r="R66" s="1541"/>
    </row>
    <row r="67" spans="2:18" ht="38.25">
      <c r="B67" s="53"/>
      <c r="C67" s="78">
        <v>5000</v>
      </c>
      <c r="D67" s="46" t="s">
        <v>174</v>
      </c>
      <c r="E67" s="45" t="s">
        <v>37</v>
      </c>
      <c r="F67" s="50"/>
      <c r="G67" s="78">
        <v>4000</v>
      </c>
      <c r="H67" s="64" t="s">
        <v>256</v>
      </c>
      <c r="I67" s="57" t="s">
        <v>279</v>
      </c>
      <c r="J67" s="57" t="s">
        <v>37</v>
      </c>
      <c r="K67" s="57" t="s">
        <v>258</v>
      </c>
      <c r="L67" s="57" t="s">
        <v>259</v>
      </c>
      <c r="M67" s="566" t="s">
        <v>260</v>
      </c>
      <c r="N67" s="72" t="s">
        <v>37</v>
      </c>
      <c r="O67" s="72"/>
      <c r="P67" s="681" t="s">
        <v>37</v>
      </c>
      <c r="Q67" s="679" t="s">
        <v>223</v>
      </c>
      <c r="R67" s="1541"/>
    </row>
    <row r="68" spans="2:18" ht="51">
      <c r="B68" s="73" t="s">
        <v>58</v>
      </c>
      <c r="C68" s="74">
        <v>65000</v>
      </c>
      <c r="D68" s="75"/>
      <c r="E68" s="81"/>
      <c r="F68" s="76" t="s">
        <v>139</v>
      </c>
      <c r="G68" s="74">
        <v>65000</v>
      </c>
      <c r="H68" s="77"/>
      <c r="I68" s="82"/>
      <c r="J68" s="82"/>
      <c r="K68" s="82"/>
      <c r="L68" s="82"/>
      <c r="M68" s="82"/>
      <c r="N68" s="72"/>
      <c r="O68" s="72"/>
      <c r="P68" s="82"/>
      <c r="Q68" s="82"/>
    </row>
    <row r="69" spans="2:18" ht="38.25">
      <c r="B69" s="53"/>
      <c r="C69" s="78">
        <v>10000</v>
      </c>
      <c r="D69" s="46" t="s">
        <v>269</v>
      </c>
      <c r="E69" s="45" t="s">
        <v>37</v>
      </c>
      <c r="F69" s="50"/>
      <c r="G69" s="78">
        <v>10000</v>
      </c>
      <c r="H69" s="64" t="s">
        <v>256</v>
      </c>
      <c r="I69" s="57" t="s">
        <v>279</v>
      </c>
      <c r="J69" s="57" t="s">
        <v>37</v>
      </c>
      <c r="K69" s="57" t="s">
        <v>258</v>
      </c>
      <c r="L69" s="57" t="s">
        <v>259</v>
      </c>
      <c r="M69" s="566" t="s">
        <v>260</v>
      </c>
      <c r="N69" s="72" t="s">
        <v>37</v>
      </c>
      <c r="O69" s="72"/>
      <c r="P69" s="681" t="s">
        <v>37</v>
      </c>
      <c r="Q69" s="679" t="s">
        <v>223</v>
      </c>
      <c r="R69" s="1541">
        <f>1/6</f>
        <v>0.16666666666666666</v>
      </c>
    </row>
    <row r="70" spans="2:18" ht="38.25">
      <c r="B70" s="53"/>
      <c r="C70" s="78">
        <v>12000</v>
      </c>
      <c r="D70" s="46" t="s">
        <v>263</v>
      </c>
      <c r="E70" s="45" t="s">
        <v>37</v>
      </c>
      <c r="F70" s="50"/>
      <c r="G70" s="78">
        <v>12000</v>
      </c>
      <c r="H70" s="64" t="s">
        <v>256</v>
      </c>
      <c r="I70" s="57" t="s">
        <v>279</v>
      </c>
      <c r="J70" s="57" t="s">
        <v>37</v>
      </c>
      <c r="K70" s="57" t="s">
        <v>258</v>
      </c>
      <c r="L70" s="57" t="s">
        <v>259</v>
      </c>
      <c r="M70" s="566" t="s">
        <v>260</v>
      </c>
      <c r="N70" s="72" t="s">
        <v>37</v>
      </c>
      <c r="O70" s="72"/>
      <c r="P70" s="681" t="s">
        <v>37</v>
      </c>
      <c r="Q70" s="679" t="s">
        <v>223</v>
      </c>
      <c r="R70" s="1541"/>
    </row>
    <row r="71" spans="2:18" ht="38.25">
      <c r="B71" s="53"/>
      <c r="C71" s="78">
        <v>15000</v>
      </c>
      <c r="D71" s="46" t="s">
        <v>274</v>
      </c>
      <c r="E71" s="45" t="s">
        <v>37</v>
      </c>
      <c r="F71" s="50"/>
      <c r="G71" s="78">
        <v>15000</v>
      </c>
      <c r="H71" s="64" t="s">
        <v>256</v>
      </c>
      <c r="I71" s="57" t="s">
        <v>279</v>
      </c>
      <c r="J71" s="57" t="s">
        <v>37</v>
      </c>
      <c r="K71" s="57" t="s">
        <v>258</v>
      </c>
      <c r="L71" s="57" t="s">
        <v>259</v>
      </c>
      <c r="M71" s="566" t="s">
        <v>260</v>
      </c>
      <c r="N71" s="72" t="s">
        <v>37</v>
      </c>
      <c r="O71" s="72"/>
      <c r="P71" s="681" t="s">
        <v>37</v>
      </c>
      <c r="Q71" s="679" t="s">
        <v>223</v>
      </c>
      <c r="R71" s="1541"/>
    </row>
    <row r="72" spans="2:18" ht="38.25">
      <c r="B72" s="53"/>
      <c r="C72" s="78">
        <v>8000</v>
      </c>
      <c r="D72" s="46" t="s">
        <v>265</v>
      </c>
      <c r="E72" s="45" t="s">
        <v>37</v>
      </c>
      <c r="F72" s="50"/>
      <c r="G72" s="78">
        <v>8000</v>
      </c>
      <c r="H72" s="64" t="s">
        <v>256</v>
      </c>
      <c r="I72" s="57" t="s">
        <v>279</v>
      </c>
      <c r="J72" s="57" t="s">
        <v>37</v>
      </c>
      <c r="K72" s="57" t="s">
        <v>258</v>
      </c>
      <c r="L72" s="57" t="s">
        <v>259</v>
      </c>
      <c r="M72" s="566" t="s">
        <v>260</v>
      </c>
      <c r="N72" s="72" t="s">
        <v>37</v>
      </c>
      <c r="O72" s="72"/>
      <c r="P72" s="681" t="s">
        <v>37</v>
      </c>
      <c r="Q72" s="679" t="s">
        <v>223</v>
      </c>
      <c r="R72" s="1541"/>
    </row>
    <row r="73" spans="2:18" ht="38.25">
      <c r="B73" s="53"/>
      <c r="C73" s="78">
        <v>12000</v>
      </c>
      <c r="D73" s="46" t="s">
        <v>266</v>
      </c>
      <c r="E73" s="45" t="s">
        <v>37</v>
      </c>
      <c r="F73" s="50"/>
      <c r="G73" s="78">
        <v>12000</v>
      </c>
      <c r="H73" s="64" t="s">
        <v>256</v>
      </c>
      <c r="I73" s="57" t="s">
        <v>279</v>
      </c>
      <c r="J73" s="57" t="s">
        <v>37</v>
      </c>
      <c r="K73" s="57" t="s">
        <v>258</v>
      </c>
      <c r="L73" s="57" t="s">
        <v>259</v>
      </c>
      <c r="M73" s="566" t="s">
        <v>260</v>
      </c>
      <c r="N73" s="72" t="s">
        <v>14</v>
      </c>
      <c r="O73" s="72" t="s">
        <v>267</v>
      </c>
      <c r="P73" s="681" t="s">
        <v>14</v>
      </c>
      <c r="Q73" s="679" t="s">
        <v>223</v>
      </c>
      <c r="R73" s="1541"/>
    </row>
    <row r="74" spans="2:18" ht="38.25">
      <c r="B74" s="53"/>
      <c r="C74" s="78">
        <v>8000</v>
      </c>
      <c r="D74" s="46" t="s">
        <v>174</v>
      </c>
      <c r="E74" s="45" t="s">
        <v>37</v>
      </c>
      <c r="F74" s="50"/>
      <c r="G74" s="78">
        <v>8000</v>
      </c>
      <c r="H74" s="64" t="s">
        <v>256</v>
      </c>
      <c r="I74" s="57" t="s">
        <v>279</v>
      </c>
      <c r="J74" s="57" t="s">
        <v>37</v>
      </c>
      <c r="K74" s="57" t="s">
        <v>258</v>
      </c>
      <c r="L74" s="57" t="s">
        <v>259</v>
      </c>
      <c r="M74" s="566" t="s">
        <v>260</v>
      </c>
      <c r="N74" s="72" t="s">
        <v>37</v>
      </c>
      <c r="O74" s="72"/>
      <c r="P74" s="681" t="s">
        <v>37</v>
      </c>
      <c r="Q74" s="679" t="s">
        <v>223</v>
      </c>
      <c r="R74" s="1541"/>
    </row>
    <row r="75" spans="2:18" ht="63.75">
      <c r="B75" s="73" t="s">
        <v>121</v>
      </c>
      <c r="C75" s="74">
        <v>64000</v>
      </c>
      <c r="D75" s="75"/>
      <c r="E75" s="81"/>
      <c r="F75" s="76" t="s">
        <v>299</v>
      </c>
      <c r="G75" s="74">
        <v>64000</v>
      </c>
      <c r="H75" s="77"/>
      <c r="I75" s="82"/>
      <c r="J75" s="82"/>
      <c r="K75" s="82"/>
      <c r="L75" s="82"/>
      <c r="M75" s="82"/>
      <c r="N75" s="72"/>
      <c r="O75" s="72"/>
      <c r="P75" s="82"/>
      <c r="Q75" s="82"/>
    </row>
    <row r="76" spans="2:18" ht="90">
      <c r="B76" s="53"/>
      <c r="C76" s="78">
        <v>17000</v>
      </c>
      <c r="D76" s="46" t="s">
        <v>0</v>
      </c>
      <c r="E76" s="45" t="s">
        <v>37</v>
      </c>
      <c r="F76" s="50"/>
      <c r="G76" s="78">
        <v>17000</v>
      </c>
      <c r="H76" s="64" t="s">
        <v>256</v>
      </c>
      <c r="I76" s="57" t="s">
        <v>279</v>
      </c>
      <c r="J76" s="57" t="s">
        <v>37</v>
      </c>
      <c r="K76" s="57" t="s">
        <v>258</v>
      </c>
      <c r="L76" s="57" t="s">
        <v>259</v>
      </c>
      <c r="M76" s="566" t="s">
        <v>260</v>
      </c>
      <c r="N76" s="72" t="s">
        <v>14</v>
      </c>
      <c r="O76" s="674" t="s">
        <v>300</v>
      </c>
      <c r="P76" s="681" t="s">
        <v>14</v>
      </c>
      <c r="Q76" s="679" t="s">
        <v>223</v>
      </c>
      <c r="R76" s="1541">
        <f>1/7</f>
        <v>0.14285714285714285</v>
      </c>
    </row>
    <row r="77" spans="2:18" ht="38.25">
      <c r="B77" s="53"/>
      <c r="C77" s="78">
        <v>10000</v>
      </c>
      <c r="D77" s="46" t="s">
        <v>269</v>
      </c>
      <c r="E77" s="45" t="s">
        <v>37</v>
      </c>
      <c r="F77" s="50"/>
      <c r="G77" s="78">
        <v>10000</v>
      </c>
      <c r="H77" s="64" t="s">
        <v>256</v>
      </c>
      <c r="I77" s="57" t="s">
        <v>279</v>
      </c>
      <c r="J77" s="57" t="s">
        <v>37</v>
      </c>
      <c r="K77" s="57" t="s">
        <v>258</v>
      </c>
      <c r="L77" s="57" t="s">
        <v>259</v>
      </c>
      <c r="M77" s="566" t="s">
        <v>260</v>
      </c>
      <c r="N77" s="72" t="s">
        <v>37</v>
      </c>
      <c r="O77" s="72"/>
      <c r="P77" s="681" t="s">
        <v>37</v>
      </c>
      <c r="Q77" s="679" t="s">
        <v>223</v>
      </c>
      <c r="R77" s="1541"/>
    </row>
    <row r="78" spans="2:18" ht="38.25">
      <c r="B78" s="53"/>
      <c r="C78" s="78">
        <v>5000</v>
      </c>
      <c r="D78" s="46" t="s">
        <v>301</v>
      </c>
      <c r="E78" s="45" t="s">
        <v>37</v>
      </c>
      <c r="F78" s="50"/>
      <c r="G78" s="78">
        <v>5000</v>
      </c>
      <c r="H78" s="64" t="s">
        <v>256</v>
      </c>
      <c r="I78" s="57" t="s">
        <v>279</v>
      </c>
      <c r="J78" s="57" t="s">
        <v>37</v>
      </c>
      <c r="K78" s="57" t="s">
        <v>258</v>
      </c>
      <c r="L78" s="57" t="s">
        <v>259</v>
      </c>
      <c r="M78" s="566" t="s">
        <v>260</v>
      </c>
      <c r="N78" s="72" t="s">
        <v>37</v>
      </c>
      <c r="O78" s="72"/>
      <c r="P78" s="681" t="s">
        <v>37</v>
      </c>
      <c r="Q78" s="679" t="s">
        <v>223</v>
      </c>
      <c r="R78" s="1541"/>
    </row>
    <row r="79" spans="2:18" ht="38.25">
      <c r="B79" s="53"/>
      <c r="C79" s="78">
        <v>5000</v>
      </c>
      <c r="D79" s="46" t="s">
        <v>274</v>
      </c>
      <c r="E79" s="45" t="s">
        <v>37</v>
      </c>
      <c r="F79" s="50"/>
      <c r="G79" s="78">
        <v>5000</v>
      </c>
      <c r="H79" s="64" t="s">
        <v>256</v>
      </c>
      <c r="I79" s="57" t="s">
        <v>279</v>
      </c>
      <c r="J79" s="57" t="s">
        <v>37</v>
      </c>
      <c r="K79" s="57" t="s">
        <v>258</v>
      </c>
      <c r="L79" s="57" t="s">
        <v>259</v>
      </c>
      <c r="M79" s="566" t="s">
        <v>260</v>
      </c>
      <c r="N79" s="72" t="s">
        <v>37</v>
      </c>
      <c r="O79" s="72"/>
      <c r="P79" s="681" t="s">
        <v>37</v>
      </c>
      <c r="Q79" s="679" t="s">
        <v>223</v>
      </c>
      <c r="R79" s="1541"/>
    </row>
    <row r="80" spans="2:18" ht="38.25">
      <c r="B80" s="53"/>
      <c r="C80" s="78">
        <v>7000</v>
      </c>
      <c r="D80" s="46" t="s">
        <v>265</v>
      </c>
      <c r="E80" s="45" t="s">
        <v>37</v>
      </c>
      <c r="F80" s="50"/>
      <c r="G80" s="78">
        <v>7000</v>
      </c>
      <c r="H80" s="64" t="s">
        <v>256</v>
      </c>
      <c r="I80" s="57" t="s">
        <v>279</v>
      </c>
      <c r="J80" s="57" t="s">
        <v>37</v>
      </c>
      <c r="K80" s="57" t="s">
        <v>258</v>
      </c>
      <c r="L80" s="57" t="s">
        <v>259</v>
      </c>
      <c r="M80" s="566" t="s">
        <v>260</v>
      </c>
      <c r="N80" s="72" t="s">
        <v>37</v>
      </c>
      <c r="O80" s="72"/>
      <c r="P80" s="681" t="s">
        <v>37</v>
      </c>
      <c r="Q80" s="679" t="s">
        <v>223</v>
      </c>
      <c r="R80" s="1541"/>
    </row>
    <row r="81" spans="2:18" ht="38.25">
      <c r="B81" s="53"/>
      <c r="C81" s="78">
        <v>10000</v>
      </c>
      <c r="D81" s="46" t="s">
        <v>266</v>
      </c>
      <c r="E81" s="45" t="s">
        <v>37</v>
      </c>
      <c r="F81" s="50"/>
      <c r="G81" s="78">
        <v>10000</v>
      </c>
      <c r="H81" s="64" t="s">
        <v>256</v>
      </c>
      <c r="I81" s="57" t="s">
        <v>279</v>
      </c>
      <c r="J81" s="57" t="s">
        <v>37</v>
      </c>
      <c r="K81" s="57" t="s">
        <v>258</v>
      </c>
      <c r="L81" s="57" t="s">
        <v>259</v>
      </c>
      <c r="M81" s="566" t="s">
        <v>260</v>
      </c>
      <c r="N81" s="72" t="s">
        <v>14</v>
      </c>
      <c r="O81" s="72" t="s">
        <v>267</v>
      </c>
      <c r="P81" s="681" t="s">
        <v>37</v>
      </c>
      <c r="Q81" s="679" t="s">
        <v>223</v>
      </c>
      <c r="R81" s="1541"/>
    </row>
    <row r="82" spans="2:18" ht="38.25">
      <c r="B82" s="53"/>
      <c r="C82" s="78">
        <v>10000</v>
      </c>
      <c r="D82" s="46" t="s">
        <v>174</v>
      </c>
      <c r="E82" s="45" t="s">
        <v>37</v>
      </c>
      <c r="F82" s="50"/>
      <c r="G82" s="78">
        <v>10000</v>
      </c>
      <c r="H82" s="64" t="s">
        <v>256</v>
      </c>
      <c r="I82" s="57" t="s">
        <v>279</v>
      </c>
      <c r="J82" s="57" t="s">
        <v>37</v>
      </c>
      <c r="K82" s="57" t="s">
        <v>258</v>
      </c>
      <c r="L82" s="57" t="s">
        <v>259</v>
      </c>
      <c r="M82" s="566" t="s">
        <v>260</v>
      </c>
      <c r="N82" s="72" t="s">
        <v>37</v>
      </c>
      <c r="O82" s="72"/>
      <c r="P82" s="681" t="s">
        <v>37</v>
      </c>
      <c r="Q82" s="679" t="s">
        <v>223</v>
      </c>
      <c r="R82" s="1541"/>
    </row>
    <row r="83" spans="2:18" ht="140.25">
      <c r="B83" s="73" t="s">
        <v>122</v>
      </c>
      <c r="C83" s="84">
        <v>400600</v>
      </c>
      <c r="D83" s="85"/>
      <c r="E83" s="86"/>
      <c r="F83" s="87" t="s">
        <v>140</v>
      </c>
      <c r="G83" s="84">
        <v>400600</v>
      </c>
      <c r="H83" s="88"/>
      <c r="I83" s="88"/>
      <c r="J83" s="88"/>
      <c r="K83" s="88"/>
      <c r="L83" s="77"/>
      <c r="M83" s="77"/>
      <c r="N83" s="72"/>
      <c r="O83" s="72"/>
      <c r="P83" s="77"/>
      <c r="Q83" s="77"/>
    </row>
    <row r="84" spans="2:18" ht="225">
      <c r="B84" s="49"/>
      <c r="C84" s="89">
        <v>150000</v>
      </c>
      <c r="D84" s="90" t="s">
        <v>0</v>
      </c>
      <c r="E84" s="49" t="s">
        <v>37</v>
      </c>
      <c r="F84" s="57"/>
      <c r="G84" s="91">
        <v>150000000</v>
      </c>
      <c r="H84" s="92">
        <v>41699</v>
      </c>
      <c r="I84" s="92" t="s">
        <v>279</v>
      </c>
      <c r="J84" s="57" t="s">
        <v>37</v>
      </c>
      <c r="K84" s="57" t="s">
        <v>258</v>
      </c>
      <c r="L84" s="79">
        <v>41791</v>
      </c>
      <c r="M84" s="566" t="s">
        <v>260</v>
      </c>
      <c r="N84" s="72" t="s">
        <v>14</v>
      </c>
      <c r="O84" s="674" t="s">
        <v>302</v>
      </c>
      <c r="P84" s="681" t="s">
        <v>14</v>
      </c>
      <c r="Q84" s="679" t="s">
        <v>223</v>
      </c>
      <c r="R84" s="1541">
        <f>6/7</f>
        <v>0.8571428571428571</v>
      </c>
    </row>
    <row r="85" spans="2:18" ht="48">
      <c r="B85" s="49"/>
      <c r="C85" s="89">
        <v>36000</v>
      </c>
      <c r="D85" s="90" t="s">
        <v>75</v>
      </c>
      <c r="E85" s="49" t="s">
        <v>37</v>
      </c>
      <c r="F85" s="52"/>
      <c r="G85" s="91">
        <v>36000000</v>
      </c>
      <c r="H85" s="92">
        <v>41699</v>
      </c>
      <c r="I85" s="92" t="s">
        <v>279</v>
      </c>
      <c r="J85" s="57" t="s">
        <v>37</v>
      </c>
      <c r="K85" s="57" t="s">
        <v>258</v>
      </c>
      <c r="L85" s="79">
        <v>41791</v>
      </c>
      <c r="M85" s="566" t="s">
        <v>260</v>
      </c>
      <c r="N85" s="72" t="s">
        <v>37</v>
      </c>
      <c r="O85" s="72"/>
      <c r="P85" s="681" t="s">
        <v>37</v>
      </c>
      <c r="Q85" s="687" t="s">
        <v>1318</v>
      </c>
      <c r="R85" s="1541"/>
    </row>
    <row r="86" spans="2:18" ht="38.25">
      <c r="B86" s="49"/>
      <c r="C86" s="89">
        <v>54000</v>
      </c>
      <c r="D86" s="90" t="s">
        <v>120</v>
      </c>
      <c r="E86" s="49" t="s">
        <v>37</v>
      </c>
      <c r="F86" s="52"/>
      <c r="G86" s="91">
        <v>54000000</v>
      </c>
      <c r="H86" s="92">
        <v>41699</v>
      </c>
      <c r="I86" s="92" t="s">
        <v>279</v>
      </c>
      <c r="J86" s="57" t="s">
        <v>37</v>
      </c>
      <c r="K86" s="57" t="s">
        <v>258</v>
      </c>
      <c r="L86" s="79">
        <v>41791</v>
      </c>
      <c r="M86" s="566" t="s">
        <v>260</v>
      </c>
      <c r="N86" s="72" t="s">
        <v>37</v>
      </c>
      <c r="O86" s="72"/>
      <c r="P86" s="681" t="s">
        <v>14</v>
      </c>
      <c r="Q86" s="679" t="s">
        <v>223</v>
      </c>
      <c r="R86" s="1541"/>
    </row>
    <row r="87" spans="2:18" ht="38.25">
      <c r="B87" s="49"/>
      <c r="C87" s="89">
        <v>47000</v>
      </c>
      <c r="D87" s="90" t="s">
        <v>123</v>
      </c>
      <c r="E87" s="49" t="s">
        <v>37</v>
      </c>
      <c r="F87" s="52"/>
      <c r="G87" s="91">
        <v>47000000</v>
      </c>
      <c r="H87" s="92">
        <v>41699</v>
      </c>
      <c r="I87" s="92" t="s">
        <v>279</v>
      </c>
      <c r="J87" s="57" t="s">
        <v>37</v>
      </c>
      <c r="K87" s="57" t="s">
        <v>258</v>
      </c>
      <c r="L87" s="79">
        <v>41791</v>
      </c>
      <c r="M87" s="566" t="s">
        <v>260</v>
      </c>
      <c r="N87" s="72" t="s">
        <v>37</v>
      </c>
      <c r="O87" s="72"/>
      <c r="P87" s="681" t="s">
        <v>14</v>
      </c>
      <c r="Q87" s="679" t="s">
        <v>223</v>
      </c>
      <c r="R87" s="1541"/>
    </row>
    <row r="88" spans="2:18" ht="38.25">
      <c r="B88" s="49"/>
      <c r="C88" s="89">
        <v>48600</v>
      </c>
      <c r="D88" s="90" t="s">
        <v>1</v>
      </c>
      <c r="E88" s="49" t="s">
        <v>37</v>
      </c>
      <c r="F88" s="52"/>
      <c r="G88" s="91">
        <v>48600000</v>
      </c>
      <c r="H88" s="92">
        <v>41699</v>
      </c>
      <c r="I88" s="92" t="s">
        <v>279</v>
      </c>
      <c r="J88" s="57" t="s">
        <v>37</v>
      </c>
      <c r="K88" s="57" t="s">
        <v>258</v>
      </c>
      <c r="L88" s="79">
        <v>41791</v>
      </c>
      <c r="M88" s="566" t="s">
        <v>260</v>
      </c>
      <c r="N88" s="72" t="s">
        <v>14</v>
      </c>
      <c r="O88" s="72" t="s">
        <v>303</v>
      </c>
      <c r="P88" s="681" t="s">
        <v>14</v>
      </c>
      <c r="Q88" s="678" t="s">
        <v>223</v>
      </c>
      <c r="R88" s="1541"/>
    </row>
    <row r="89" spans="2:18" ht="38.25">
      <c r="B89" s="49"/>
      <c r="C89" s="89">
        <v>37000</v>
      </c>
      <c r="D89" s="90" t="s">
        <v>124</v>
      </c>
      <c r="E89" s="49" t="s">
        <v>37</v>
      </c>
      <c r="F89" s="52"/>
      <c r="G89" s="91">
        <v>37000000</v>
      </c>
      <c r="H89" s="92">
        <v>41699</v>
      </c>
      <c r="I89" s="92" t="s">
        <v>279</v>
      </c>
      <c r="J89" s="57" t="s">
        <v>37</v>
      </c>
      <c r="K89" s="57" t="s">
        <v>258</v>
      </c>
      <c r="L89" s="79">
        <v>41791</v>
      </c>
      <c r="M89" s="566" t="s">
        <v>260</v>
      </c>
      <c r="N89" s="72" t="s">
        <v>14</v>
      </c>
      <c r="O89" s="72" t="s">
        <v>303</v>
      </c>
      <c r="P89" s="681" t="s">
        <v>14</v>
      </c>
      <c r="Q89" s="678" t="s">
        <v>223</v>
      </c>
      <c r="R89" s="1541"/>
    </row>
    <row r="90" spans="2:18" ht="38.25">
      <c r="B90" s="49"/>
      <c r="C90" s="89">
        <v>28000</v>
      </c>
      <c r="D90" s="90" t="s">
        <v>3</v>
      </c>
      <c r="E90" s="49" t="s">
        <v>37</v>
      </c>
      <c r="F90" s="52"/>
      <c r="G90" s="91">
        <v>28000000</v>
      </c>
      <c r="H90" s="92">
        <v>41699</v>
      </c>
      <c r="I90" s="92" t="s">
        <v>279</v>
      </c>
      <c r="J90" s="57" t="s">
        <v>37</v>
      </c>
      <c r="K90" s="57" t="s">
        <v>258</v>
      </c>
      <c r="L90" s="79">
        <v>41791</v>
      </c>
      <c r="M90" s="566" t="s">
        <v>260</v>
      </c>
      <c r="N90" s="72" t="s">
        <v>37</v>
      </c>
      <c r="O90" s="72"/>
      <c r="P90" s="681" t="s">
        <v>14</v>
      </c>
      <c r="Q90" s="678" t="s">
        <v>223</v>
      </c>
      <c r="R90" s="1541"/>
    </row>
    <row r="91" spans="2:18" ht="141">
      <c r="B91" s="93" t="s">
        <v>125</v>
      </c>
      <c r="C91" s="84">
        <v>367000</v>
      </c>
      <c r="D91" s="75"/>
      <c r="E91" s="86"/>
      <c r="F91" s="94" t="s">
        <v>140</v>
      </c>
      <c r="G91" s="84">
        <v>367000</v>
      </c>
      <c r="H91" s="95"/>
      <c r="I91" s="88"/>
      <c r="J91" s="88"/>
      <c r="K91" s="88"/>
      <c r="L91" s="96"/>
      <c r="M91" s="77"/>
      <c r="N91" s="72"/>
      <c r="O91" s="72"/>
      <c r="P91" s="96"/>
      <c r="Q91" s="77"/>
    </row>
    <row r="92" spans="2:18" ht="61.5" customHeight="1">
      <c r="B92" s="54"/>
      <c r="C92" s="89">
        <v>150000</v>
      </c>
      <c r="D92" s="97" t="s">
        <v>0</v>
      </c>
      <c r="E92" s="49" t="s">
        <v>37</v>
      </c>
      <c r="F92" s="64"/>
      <c r="G92" s="91">
        <v>150000000</v>
      </c>
      <c r="H92" s="92">
        <v>41699</v>
      </c>
      <c r="I92" s="50" t="s">
        <v>279</v>
      </c>
      <c r="J92" s="52"/>
      <c r="K92" s="52"/>
      <c r="L92" s="79">
        <v>42186</v>
      </c>
      <c r="M92" s="566" t="s">
        <v>260</v>
      </c>
      <c r="N92" s="72" t="s">
        <v>14</v>
      </c>
      <c r="O92" s="674" t="s">
        <v>302</v>
      </c>
      <c r="P92" s="681" t="s">
        <v>14</v>
      </c>
      <c r="Q92" s="678" t="s">
        <v>223</v>
      </c>
      <c r="R92" s="1541">
        <f>7/7</f>
        <v>1</v>
      </c>
    </row>
    <row r="93" spans="2:18" ht="38.25">
      <c r="B93" s="54"/>
      <c r="C93" s="89">
        <v>32000</v>
      </c>
      <c r="D93" s="90" t="s">
        <v>75</v>
      </c>
      <c r="E93" s="19" t="s">
        <v>37</v>
      </c>
      <c r="F93" s="52"/>
      <c r="G93" s="91">
        <v>32000000</v>
      </c>
      <c r="H93" s="92">
        <v>41699</v>
      </c>
      <c r="I93" s="50" t="s">
        <v>279</v>
      </c>
      <c r="J93" s="57" t="s">
        <v>37</v>
      </c>
      <c r="K93" s="57" t="s">
        <v>258</v>
      </c>
      <c r="L93" s="79">
        <v>42186</v>
      </c>
      <c r="M93" s="566" t="s">
        <v>260</v>
      </c>
      <c r="N93" s="72" t="s">
        <v>37</v>
      </c>
      <c r="O93" s="72"/>
      <c r="P93" s="681" t="s">
        <v>14</v>
      </c>
      <c r="Q93" s="687" t="s">
        <v>1316</v>
      </c>
      <c r="R93" s="1541"/>
    </row>
    <row r="94" spans="2:18" ht="38.25">
      <c r="B94" s="54"/>
      <c r="C94" s="89">
        <v>36000</v>
      </c>
      <c r="D94" s="90" t="s">
        <v>33</v>
      </c>
      <c r="E94" s="19" t="s">
        <v>37</v>
      </c>
      <c r="F94" s="52"/>
      <c r="G94" s="91">
        <v>36000000</v>
      </c>
      <c r="H94" s="92">
        <v>41699</v>
      </c>
      <c r="I94" s="50" t="s">
        <v>279</v>
      </c>
      <c r="J94" s="57" t="s">
        <v>37</v>
      </c>
      <c r="K94" s="57" t="s">
        <v>258</v>
      </c>
      <c r="L94" s="79">
        <v>42186</v>
      </c>
      <c r="M94" s="566" t="s">
        <v>260</v>
      </c>
      <c r="N94" s="72" t="s">
        <v>14</v>
      </c>
      <c r="O94" s="72" t="s">
        <v>303</v>
      </c>
      <c r="P94" s="681" t="s">
        <v>14</v>
      </c>
      <c r="Q94" s="683" t="s">
        <v>223</v>
      </c>
      <c r="R94" s="1541"/>
    </row>
    <row r="95" spans="2:18" ht="38.25">
      <c r="B95" s="54"/>
      <c r="C95" s="89">
        <v>45000</v>
      </c>
      <c r="D95" s="90" t="s">
        <v>2</v>
      </c>
      <c r="E95" s="19" t="s">
        <v>37</v>
      </c>
      <c r="F95" s="52"/>
      <c r="G95" s="91">
        <v>45000000</v>
      </c>
      <c r="H95" s="92">
        <v>41699</v>
      </c>
      <c r="I95" s="50" t="s">
        <v>279</v>
      </c>
      <c r="J95" s="57" t="s">
        <v>37</v>
      </c>
      <c r="K95" s="57" t="s">
        <v>258</v>
      </c>
      <c r="L95" s="79">
        <v>42186</v>
      </c>
      <c r="M95" s="566" t="s">
        <v>260</v>
      </c>
      <c r="N95" s="72" t="s">
        <v>37</v>
      </c>
      <c r="O95" s="72"/>
      <c r="P95" s="681" t="s">
        <v>14</v>
      </c>
      <c r="Q95" s="678" t="s">
        <v>223</v>
      </c>
      <c r="R95" s="1541"/>
    </row>
    <row r="96" spans="2:18" ht="38.25">
      <c r="B96" s="54"/>
      <c r="C96" s="89">
        <v>45000</v>
      </c>
      <c r="D96" s="90" t="s">
        <v>126</v>
      </c>
      <c r="E96" s="19" t="s">
        <v>37</v>
      </c>
      <c r="F96" s="52"/>
      <c r="G96" s="91">
        <v>45000000</v>
      </c>
      <c r="H96" s="92">
        <v>41699</v>
      </c>
      <c r="I96" s="50" t="s">
        <v>279</v>
      </c>
      <c r="J96" s="57" t="s">
        <v>37</v>
      </c>
      <c r="K96" s="57" t="s">
        <v>258</v>
      </c>
      <c r="L96" s="79">
        <v>42186</v>
      </c>
      <c r="M96" s="566" t="s">
        <v>260</v>
      </c>
      <c r="N96" s="72" t="s">
        <v>14</v>
      </c>
      <c r="O96" s="72" t="s">
        <v>303</v>
      </c>
      <c r="P96" s="681" t="s">
        <v>14</v>
      </c>
      <c r="Q96" s="678" t="s">
        <v>223</v>
      </c>
      <c r="R96" s="1541"/>
    </row>
    <row r="97" spans="2:18" ht="38.25">
      <c r="B97" s="54"/>
      <c r="C97" s="89">
        <v>32000</v>
      </c>
      <c r="D97" s="90" t="s">
        <v>124</v>
      </c>
      <c r="E97" s="19" t="s">
        <v>37</v>
      </c>
      <c r="F97" s="52"/>
      <c r="G97" s="91">
        <v>32000000</v>
      </c>
      <c r="H97" s="92">
        <v>41699</v>
      </c>
      <c r="I97" s="50" t="s">
        <v>279</v>
      </c>
      <c r="J97" s="57" t="s">
        <v>37</v>
      </c>
      <c r="K97" s="57" t="s">
        <v>258</v>
      </c>
      <c r="L97" s="79">
        <v>42186</v>
      </c>
      <c r="M97" s="566" t="s">
        <v>260</v>
      </c>
      <c r="N97" s="72" t="s">
        <v>14</v>
      </c>
      <c r="O97" s="72" t="s">
        <v>303</v>
      </c>
      <c r="P97" s="681" t="s">
        <v>14</v>
      </c>
      <c r="Q97" s="678" t="s">
        <v>223</v>
      </c>
      <c r="R97" s="1541"/>
    </row>
    <row r="98" spans="2:18" ht="38.25">
      <c r="B98" s="54"/>
      <c r="C98" s="89">
        <v>27000</v>
      </c>
      <c r="D98" s="90" t="s">
        <v>3</v>
      </c>
      <c r="E98" s="19" t="s">
        <v>37</v>
      </c>
      <c r="F98" s="52"/>
      <c r="G98" s="91">
        <v>27000000</v>
      </c>
      <c r="H98" s="92">
        <v>41699</v>
      </c>
      <c r="I98" s="50" t="s">
        <v>279</v>
      </c>
      <c r="J98" s="57" t="s">
        <v>37</v>
      </c>
      <c r="K98" s="57" t="s">
        <v>258</v>
      </c>
      <c r="L98" s="79">
        <v>42186</v>
      </c>
      <c r="M98" s="566" t="s">
        <v>260</v>
      </c>
      <c r="N98" s="72" t="s">
        <v>37</v>
      </c>
      <c r="O98" s="72"/>
      <c r="P98" s="681" t="s">
        <v>14</v>
      </c>
      <c r="Q98" s="678" t="s">
        <v>223</v>
      </c>
      <c r="R98" s="1541"/>
    </row>
    <row r="99" spans="2:18" ht="141">
      <c r="B99" s="93" t="s">
        <v>127</v>
      </c>
      <c r="C99" s="84">
        <v>128000</v>
      </c>
      <c r="D99" s="75"/>
      <c r="E99" s="86"/>
      <c r="F99" s="94" t="s">
        <v>140</v>
      </c>
      <c r="G99" s="84">
        <v>128000</v>
      </c>
      <c r="H99" s="88"/>
      <c r="I99" s="88"/>
      <c r="J99" s="88"/>
      <c r="K99" s="88"/>
      <c r="L99" s="77"/>
      <c r="M99" s="77"/>
      <c r="N99" s="72"/>
      <c r="O99" s="72"/>
      <c r="P99" s="77"/>
      <c r="Q99" s="77"/>
    </row>
    <row r="100" spans="2:18" ht="84" customHeight="1">
      <c r="B100" s="52"/>
      <c r="C100" s="89">
        <v>40000</v>
      </c>
      <c r="D100" s="97" t="s">
        <v>0</v>
      </c>
      <c r="E100" s="49" t="s">
        <v>37</v>
      </c>
      <c r="F100" s="98"/>
      <c r="G100" s="91">
        <v>40000000</v>
      </c>
      <c r="H100" s="92">
        <v>41699</v>
      </c>
      <c r="I100" s="50" t="s">
        <v>279</v>
      </c>
      <c r="J100" s="57" t="s">
        <v>37</v>
      </c>
      <c r="K100" s="57" t="s">
        <v>258</v>
      </c>
      <c r="L100" s="79">
        <v>41883</v>
      </c>
      <c r="M100" s="566" t="s">
        <v>260</v>
      </c>
      <c r="N100" s="72" t="s">
        <v>14</v>
      </c>
      <c r="O100" s="674" t="s">
        <v>302</v>
      </c>
      <c r="P100" s="681" t="s">
        <v>14</v>
      </c>
      <c r="Q100" s="678" t="s">
        <v>223</v>
      </c>
      <c r="R100" s="1541">
        <v>1</v>
      </c>
    </row>
    <row r="101" spans="2:18" ht="48.75">
      <c r="B101" s="52"/>
      <c r="C101" s="89">
        <v>14000</v>
      </c>
      <c r="D101" s="90" t="s">
        <v>128</v>
      </c>
      <c r="E101" s="49" t="s">
        <v>37</v>
      </c>
      <c r="F101" s="52"/>
      <c r="G101" s="91">
        <v>14000000</v>
      </c>
      <c r="H101" s="92">
        <v>41699</v>
      </c>
      <c r="I101" s="50" t="s">
        <v>279</v>
      </c>
      <c r="J101" s="57" t="s">
        <v>37</v>
      </c>
      <c r="K101" s="57" t="s">
        <v>258</v>
      </c>
      <c r="L101" s="79">
        <v>41883</v>
      </c>
      <c r="M101" s="566" t="s">
        <v>260</v>
      </c>
      <c r="N101" s="72" t="s">
        <v>37</v>
      </c>
      <c r="O101" s="72"/>
      <c r="P101" s="681" t="s">
        <v>14</v>
      </c>
      <c r="Q101" s="682" t="s">
        <v>1317</v>
      </c>
      <c r="R101" s="1541"/>
    </row>
    <row r="102" spans="2:18" ht="38.25">
      <c r="B102" s="52"/>
      <c r="C102" s="89">
        <v>16000</v>
      </c>
      <c r="D102" s="90" t="s">
        <v>33</v>
      </c>
      <c r="E102" s="49" t="s">
        <v>37</v>
      </c>
      <c r="F102" s="52"/>
      <c r="G102" s="91">
        <v>16000000</v>
      </c>
      <c r="H102" s="92">
        <v>41699</v>
      </c>
      <c r="I102" s="50" t="s">
        <v>279</v>
      </c>
      <c r="J102" s="57" t="s">
        <v>37</v>
      </c>
      <c r="K102" s="57" t="s">
        <v>258</v>
      </c>
      <c r="L102" s="79">
        <v>41883</v>
      </c>
      <c r="M102" s="566" t="s">
        <v>260</v>
      </c>
      <c r="N102" s="72" t="s">
        <v>14</v>
      </c>
      <c r="O102" s="72" t="s">
        <v>303</v>
      </c>
      <c r="P102" s="681" t="s">
        <v>14</v>
      </c>
      <c r="Q102" s="684" t="s">
        <v>223</v>
      </c>
      <c r="R102" s="1541"/>
    </row>
    <row r="103" spans="2:18" ht="38.25">
      <c r="B103" s="52"/>
      <c r="C103" s="89">
        <v>16000</v>
      </c>
      <c r="D103" s="90" t="s">
        <v>2</v>
      </c>
      <c r="E103" s="49" t="s">
        <v>37</v>
      </c>
      <c r="F103" s="52"/>
      <c r="G103" s="91">
        <v>16000000</v>
      </c>
      <c r="H103" s="92">
        <v>41699</v>
      </c>
      <c r="I103" s="50" t="s">
        <v>279</v>
      </c>
      <c r="J103" s="57" t="s">
        <v>37</v>
      </c>
      <c r="K103" s="57" t="s">
        <v>258</v>
      </c>
      <c r="L103" s="79">
        <v>41883</v>
      </c>
      <c r="M103" s="566" t="s">
        <v>260</v>
      </c>
      <c r="N103" s="72" t="s">
        <v>37</v>
      </c>
      <c r="O103" s="72"/>
      <c r="P103" s="681" t="s">
        <v>14</v>
      </c>
      <c r="Q103" s="678" t="s">
        <v>223</v>
      </c>
      <c r="R103" s="1541"/>
    </row>
    <row r="104" spans="2:18" ht="38.25">
      <c r="B104" s="52"/>
      <c r="C104" s="89">
        <v>16000</v>
      </c>
      <c r="D104" s="90" t="s">
        <v>1</v>
      </c>
      <c r="E104" s="49" t="s">
        <v>37</v>
      </c>
      <c r="F104" s="52"/>
      <c r="G104" s="91">
        <v>16000000</v>
      </c>
      <c r="H104" s="92">
        <v>41699</v>
      </c>
      <c r="I104" s="50" t="s">
        <v>279</v>
      </c>
      <c r="J104" s="57" t="s">
        <v>37</v>
      </c>
      <c r="K104" s="57" t="s">
        <v>258</v>
      </c>
      <c r="L104" s="79">
        <v>41883</v>
      </c>
      <c r="M104" s="566" t="s">
        <v>260</v>
      </c>
      <c r="N104" s="72" t="s">
        <v>14</v>
      </c>
      <c r="O104" s="72" t="s">
        <v>303</v>
      </c>
      <c r="P104" s="681" t="s">
        <v>14</v>
      </c>
      <c r="Q104" s="683" t="s">
        <v>223</v>
      </c>
      <c r="R104" s="1541"/>
    </row>
    <row r="105" spans="2:18" ht="38.25">
      <c r="B105" s="52"/>
      <c r="C105" s="89">
        <v>14000</v>
      </c>
      <c r="D105" s="90" t="s">
        <v>129</v>
      </c>
      <c r="E105" s="49" t="s">
        <v>37</v>
      </c>
      <c r="F105" s="52"/>
      <c r="G105" s="91">
        <v>14000000</v>
      </c>
      <c r="H105" s="92">
        <v>41699</v>
      </c>
      <c r="I105" s="50" t="s">
        <v>279</v>
      </c>
      <c r="J105" s="57" t="s">
        <v>37</v>
      </c>
      <c r="K105" s="57" t="s">
        <v>258</v>
      </c>
      <c r="L105" s="79">
        <v>41883</v>
      </c>
      <c r="M105" s="566" t="s">
        <v>260</v>
      </c>
      <c r="N105" s="72" t="s">
        <v>14</v>
      </c>
      <c r="O105" s="72" t="s">
        <v>303</v>
      </c>
      <c r="P105" s="681" t="s">
        <v>14</v>
      </c>
      <c r="Q105" s="678" t="s">
        <v>223</v>
      </c>
      <c r="R105" s="1541"/>
    </row>
    <row r="106" spans="2:18" ht="38.25">
      <c r="B106" s="52"/>
      <c r="C106" s="89">
        <v>12000</v>
      </c>
      <c r="D106" s="90" t="s">
        <v>3</v>
      </c>
      <c r="E106" s="49" t="s">
        <v>37</v>
      </c>
      <c r="F106" s="52"/>
      <c r="G106" s="91">
        <v>12000000</v>
      </c>
      <c r="H106" s="92">
        <v>41699</v>
      </c>
      <c r="I106" s="50" t="s">
        <v>279</v>
      </c>
      <c r="J106" s="57" t="s">
        <v>37</v>
      </c>
      <c r="K106" s="57" t="s">
        <v>258</v>
      </c>
      <c r="L106" s="79">
        <v>41883</v>
      </c>
      <c r="M106" s="566" t="s">
        <v>260</v>
      </c>
      <c r="N106" s="72" t="s">
        <v>37</v>
      </c>
      <c r="O106" s="72"/>
      <c r="P106" s="681" t="s">
        <v>14</v>
      </c>
      <c r="Q106" s="684" t="s">
        <v>223</v>
      </c>
      <c r="R106" s="1541"/>
    </row>
    <row r="107" spans="2:18" ht="26.25">
      <c r="B107" s="93" t="s">
        <v>130</v>
      </c>
      <c r="C107" s="84">
        <v>85100</v>
      </c>
      <c r="D107" s="75"/>
      <c r="E107" s="75"/>
      <c r="F107" s="94" t="s">
        <v>304</v>
      </c>
      <c r="G107" s="84">
        <v>85100</v>
      </c>
      <c r="H107" s="99"/>
      <c r="I107" s="88"/>
      <c r="J107" s="88"/>
      <c r="K107" s="88"/>
      <c r="L107" s="77"/>
      <c r="M107" s="680"/>
      <c r="N107" s="72"/>
      <c r="O107" s="72"/>
      <c r="P107" s="77"/>
      <c r="Q107" s="680"/>
    </row>
    <row r="108" spans="2:18" ht="38.25">
      <c r="B108" s="55"/>
      <c r="C108" s="89">
        <v>43100</v>
      </c>
      <c r="D108" s="90" t="s">
        <v>305</v>
      </c>
      <c r="E108" s="51" t="s">
        <v>37</v>
      </c>
      <c r="F108" s="52"/>
      <c r="G108" s="91">
        <v>43100000</v>
      </c>
      <c r="H108" s="92">
        <v>41699</v>
      </c>
      <c r="I108" s="50" t="s">
        <v>279</v>
      </c>
      <c r="J108" s="57" t="s">
        <v>37</v>
      </c>
      <c r="K108" s="57" t="s">
        <v>258</v>
      </c>
      <c r="L108" s="79">
        <v>41883</v>
      </c>
      <c r="M108" s="566" t="s">
        <v>260</v>
      </c>
      <c r="N108" s="72" t="s">
        <v>37</v>
      </c>
      <c r="O108" s="72"/>
      <c r="P108" s="681" t="s">
        <v>14</v>
      </c>
      <c r="Q108" s="679" t="s">
        <v>223</v>
      </c>
      <c r="R108" s="1541">
        <v>1</v>
      </c>
    </row>
    <row r="109" spans="2:18" ht="38.25">
      <c r="B109" s="55"/>
      <c r="C109" s="89">
        <v>0</v>
      </c>
      <c r="D109" s="90" t="s">
        <v>33</v>
      </c>
      <c r="E109" s="51" t="s">
        <v>37</v>
      </c>
      <c r="F109" s="52"/>
      <c r="G109" s="91">
        <v>0</v>
      </c>
      <c r="H109" s="92">
        <v>41699</v>
      </c>
      <c r="I109" s="50" t="s">
        <v>279</v>
      </c>
      <c r="J109" s="57" t="s">
        <v>37</v>
      </c>
      <c r="K109" s="57" t="s">
        <v>258</v>
      </c>
      <c r="L109" s="79">
        <v>41883</v>
      </c>
      <c r="M109" s="566" t="s">
        <v>260</v>
      </c>
      <c r="N109" s="72" t="s">
        <v>37</v>
      </c>
      <c r="O109" s="72"/>
      <c r="P109" s="681" t="s">
        <v>14</v>
      </c>
      <c r="Q109" s="677" t="s">
        <v>1313</v>
      </c>
      <c r="R109" s="1541"/>
    </row>
    <row r="110" spans="2:18" ht="38.25">
      <c r="B110" s="55"/>
      <c r="C110" s="89">
        <v>42000</v>
      </c>
      <c r="D110" s="90" t="s">
        <v>2</v>
      </c>
      <c r="E110" s="51" t="s">
        <v>37</v>
      </c>
      <c r="F110" s="52"/>
      <c r="G110" s="91">
        <v>42000000</v>
      </c>
      <c r="H110" s="92">
        <v>41699</v>
      </c>
      <c r="I110" s="50" t="s">
        <v>279</v>
      </c>
      <c r="J110" s="57" t="s">
        <v>37</v>
      </c>
      <c r="K110" s="57" t="s">
        <v>258</v>
      </c>
      <c r="L110" s="79">
        <v>41883</v>
      </c>
      <c r="M110" s="566" t="s">
        <v>260</v>
      </c>
      <c r="N110" s="72" t="s">
        <v>37</v>
      </c>
      <c r="O110" s="72"/>
      <c r="P110" s="681" t="s">
        <v>14</v>
      </c>
      <c r="Q110" s="685" t="s">
        <v>223</v>
      </c>
      <c r="R110" s="1541"/>
    </row>
    <row r="111" spans="2:18">
      <c r="C111" s="100">
        <f>C8++C16+C21+C28+C36+C44+C51++C59+C61+C68+C75+C83+C91+C99+C107</f>
        <v>2722000</v>
      </c>
      <c r="G111" s="100">
        <f>G8+G16+H21+G21+G28+G36++++++++++++++++++++G44+G51+G59+G61+G68+G75+G83+G91+G99+G107</f>
        <v>2722000</v>
      </c>
    </row>
    <row r="112" spans="2:18">
      <c r="H112" s="593">
        <v>88</v>
      </c>
      <c r="I112" s="590" t="s">
        <v>1219</v>
      </c>
      <c r="J112" s="591"/>
      <c r="K112" s="591"/>
      <c r="P112" s="586" t="s">
        <v>1315</v>
      </c>
      <c r="Q112" s="586"/>
    </row>
    <row r="113" spans="3:17">
      <c r="H113" s="593">
        <v>80</v>
      </c>
      <c r="I113" s="590" t="s">
        <v>1220</v>
      </c>
      <c r="J113" s="591"/>
      <c r="K113" s="591"/>
      <c r="P113" s="688" t="s">
        <v>1320</v>
      </c>
      <c r="Q113" s="689">
        <v>0.96</v>
      </c>
    </row>
    <row r="114" spans="3:17">
      <c r="C114" s="686"/>
      <c r="H114" s="594">
        <v>70</v>
      </c>
      <c r="I114" s="590" t="s">
        <v>1221</v>
      </c>
      <c r="J114" s="591"/>
      <c r="K114" s="591"/>
      <c r="P114" s="688" t="s">
        <v>1319</v>
      </c>
      <c r="Q114" s="689">
        <v>0.93</v>
      </c>
    </row>
    <row r="115" spans="3:17">
      <c r="H115" s="594">
        <v>18</v>
      </c>
      <c r="I115" s="590" t="s">
        <v>1222</v>
      </c>
    </row>
    <row r="116" spans="3:17">
      <c r="H116" s="596">
        <f>H114/H113</f>
        <v>0.875</v>
      </c>
      <c r="I116" s="595" t="s">
        <v>1223</v>
      </c>
    </row>
    <row r="117" spans="3:17">
      <c r="C117" s="686"/>
    </row>
  </sheetData>
  <mergeCells count="35">
    <mergeCell ref="B2:C2"/>
    <mergeCell ref="B4:B6"/>
    <mergeCell ref="C4:C6"/>
    <mergeCell ref="D4:D6"/>
    <mergeCell ref="N4:O4"/>
    <mergeCell ref="E4:E5"/>
    <mergeCell ref="F4:F6"/>
    <mergeCell ref="N5:N6"/>
    <mergeCell ref="G4:G6"/>
    <mergeCell ref="H4:H6"/>
    <mergeCell ref="P4:Q4"/>
    <mergeCell ref="P5:P6"/>
    <mergeCell ref="Q5:Q6"/>
    <mergeCell ref="D2:Q2"/>
    <mergeCell ref="J3:Q3"/>
    <mergeCell ref="O5:O6"/>
    <mergeCell ref="I4:I6"/>
    <mergeCell ref="J4:M4"/>
    <mergeCell ref="J5:K5"/>
    <mergeCell ref="L5:M5"/>
    <mergeCell ref="R5:R6"/>
    <mergeCell ref="R9:R15"/>
    <mergeCell ref="R17:R20"/>
    <mergeCell ref="R22:R27"/>
    <mergeCell ref="R29:R35"/>
    <mergeCell ref="R37:R43"/>
    <mergeCell ref="R45:R50"/>
    <mergeCell ref="R52:R58"/>
    <mergeCell ref="R62:R67"/>
    <mergeCell ref="R69:R74"/>
    <mergeCell ref="R76:R82"/>
    <mergeCell ref="R84:R90"/>
    <mergeCell ref="R92:R98"/>
    <mergeCell ref="R100:R106"/>
    <mergeCell ref="R108:R110"/>
  </mergeCells>
  <dataValidations count="4">
    <dataValidation allowBlank="1" showInputMessage="1" showErrorMessage="1" promptTitle="Unidad de Negocio" prompt="Nivel Central_x000a_Aeropuerto_x000a_Regional_x000a_" sqref="D69:D74 D62:D67 B29:B83 D108:D110 D29:D35 D37:D43 D45:D50 D52:D58 D93:D98 D101:D106 D76:D90"/>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F19:F20 F29:F35 F37:F43 F45:F50 F52:F58 F60 F62:F67 F22:F27 F69:F74 F76:F82 F101:F110 F85:F90 F93:F98"/>
    <dataValidation type="whole" allowBlank="1" showInputMessage="1" showErrorMessage="1" errorTitle="Valor Asignado" error="Sólo se pueden introducir números en esta celda" promptTitle="Valor Asignado" prompt=" " sqref="G61:G110 G19:G59 C19:C110">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D75 D59:D61 D21 D28 D36 D44 D51 D68 D91 D99 E107:E110 D107"/>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U107"/>
  <sheetViews>
    <sheetView zoomScale="73" zoomScaleNormal="73" workbookViewId="0">
      <pane xSplit="3" ySplit="6" topLeftCell="K81" activePane="bottomRight" state="frozen"/>
      <selection activeCell="Q9" sqref="Q9"/>
      <selection pane="topRight" activeCell="Q9" sqref="Q9"/>
      <selection pane="bottomLeft" activeCell="Q9" sqref="Q9"/>
      <selection pane="bottomRight" activeCell="L89" sqref="L89"/>
    </sheetView>
  </sheetViews>
  <sheetFormatPr baseColWidth="10" defaultColWidth="44.5703125" defaultRowHeight="11.25"/>
  <cols>
    <col min="1" max="1" width="1.85546875" style="17" customWidth="1"/>
    <col min="2" max="2" width="49.28515625" style="101" customWidth="1"/>
    <col min="3" max="4" width="19.85546875" style="101" customWidth="1"/>
    <col min="5" max="5" width="19.42578125" style="101" customWidth="1"/>
    <col min="6" max="6" width="20.85546875" style="101" customWidth="1"/>
    <col min="7" max="7" width="36.85546875" style="101" customWidth="1"/>
    <col min="8" max="9" width="15.85546875" style="101" customWidth="1"/>
    <col min="10" max="10" width="19" style="101" customWidth="1"/>
    <col min="11" max="11" width="23" style="101" customWidth="1"/>
    <col min="12" max="12" width="20" style="17" customWidth="1"/>
    <col min="13" max="13" width="17" style="17" customWidth="1"/>
    <col min="14" max="14" width="16.28515625" style="17" customWidth="1"/>
    <col min="15" max="15" width="15.5703125" style="17" customWidth="1"/>
    <col min="16" max="16" width="17.85546875" style="17" customWidth="1"/>
    <col min="17" max="17" width="51.85546875" style="17" hidden="1" customWidth="1"/>
    <col min="18" max="18" width="31.85546875" style="17" customWidth="1"/>
    <col min="19" max="19" width="69.28515625" style="17" customWidth="1"/>
    <col min="20" max="256" width="11.42578125" style="17" customWidth="1"/>
    <col min="257" max="16384" width="44.5703125" style="17"/>
  </cols>
  <sheetData>
    <row r="1" spans="1:255" ht="12" thickBot="1"/>
    <row r="2" spans="1:255" s="43" customFormat="1" ht="75" customHeight="1" thickBot="1">
      <c r="A2" s="60"/>
      <c r="B2" s="1528"/>
      <c r="C2" s="1529"/>
      <c r="D2" s="797"/>
      <c r="E2" s="1545" t="s">
        <v>1310</v>
      </c>
      <c r="F2" s="1546"/>
      <c r="G2" s="1546"/>
      <c r="H2" s="1546"/>
      <c r="I2" s="1546"/>
      <c r="J2" s="1546"/>
      <c r="K2" s="1546"/>
      <c r="L2" s="1546"/>
      <c r="M2" s="1546"/>
      <c r="N2" s="1546"/>
      <c r="O2" s="1546"/>
      <c r="P2" s="1546"/>
      <c r="Q2" s="1546"/>
      <c r="R2" s="1546"/>
      <c r="S2" s="1546"/>
    </row>
    <row r="3" spans="1:255" ht="12.75" customHeight="1" thickBot="1">
      <c r="B3" s="102"/>
      <c r="C3" s="102"/>
      <c r="D3" s="102"/>
      <c r="E3" s="102"/>
      <c r="F3" s="102"/>
      <c r="G3" s="102"/>
      <c r="H3" s="102"/>
      <c r="I3" s="102"/>
      <c r="J3" s="102"/>
      <c r="K3" s="102"/>
      <c r="M3" s="1555" t="s">
        <v>228</v>
      </c>
      <c r="N3" s="1555"/>
      <c r="O3" s="1555"/>
      <c r="P3" s="1555"/>
      <c r="Q3" s="1555"/>
      <c r="R3" s="1555"/>
      <c r="S3" s="1555"/>
    </row>
    <row r="4" spans="1:255" ht="25.9" customHeight="1" thickBot="1">
      <c r="B4" s="1553" t="s">
        <v>48</v>
      </c>
      <c r="C4" s="1553" t="s">
        <v>49</v>
      </c>
      <c r="D4" s="1554" t="s">
        <v>2240</v>
      </c>
      <c r="E4" s="1553" t="s">
        <v>229</v>
      </c>
      <c r="F4" s="1536" t="s">
        <v>230</v>
      </c>
      <c r="G4" s="1553" t="s">
        <v>131</v>
      </c>
      <c r="H4" s="1553" t="s">
        <v>231</v>
      </c>
      <c r="I4" s="1553" t="s">
        <v>309</v>
      </c>
      <c r="J4" s="1553" t="s">
        <v>310</v>
      </c>
      <c r="K4" s="1553" t="s">
        <v>232</v>
      </c>
      <c r="L4" s="1553" t="s">
        <v>233</v>
      </c>
      <c r="M4" s="1553" t="s">
        <v>234</v>
      </c>
      <c r="N4" s="1553"/>
      <c r="O4" s="1553"/>
      <c r="P4" s="1553"/>
      <c r="R4" s="1530" t="s">
        <v>1447</v>
      </c>
      <c r="S4" s="1530"/>
    </row>
    <row r="5" spans="1:255" ht="54.75" customHeight="1" thickBot="1">
      <c r="B5" s="1553"/>
      <c r="C5" s="1553"/>
      <c r="D5" s="1554"/>
      <c r="E5" s="1553"/>
      <c r="F5" s="1556"/>
      <c r="G5" s="1553"/>
      <c r="H5" s="1553"/>
      <c r="I5" s="1553"/>
      <c r="J5" s="1553"/>
      <c r="K5" s="1553"/>
      <c r="L5" s="1553"/>
      <c r="M5" s="1557" t="s">
        <v>236</v>
      </c>
      <c r="N5" s="1558"/>
      <c r="O5" s="1574" t="s">
        <v>237</v>
      </c>
      <c r="P5" s="1575"/>
      <c r="R5" s="1551" t="s">
        <v>18</v>
      </c>
      <c r="S5" s="1559" t="s">
        <v>71</v>
      </c>
    </row>
    <row r="6" spans="1:255" ht="37.5" customHeight="1" thickBot="1">
      <c r="B6" s="1553"/>
      <c r="C6" s="1553"/>
      <c r="D6" s="1554"/>
      <c r="E6" s="1553"/>
      <c r="F6" s="1101" t="s">
        <v>238</v>
      </c>
      <c r="G6" s="1553"/>
      <c r="H6" s="1553"/>
      <c r="I6" s="1553"/>
      <c r="J6" s="1553"/>
      <c r="K6" s="1553"/>
      <c r="L6" s="1553"/>
      <c r="M6" s="104" t="s">
        <v>239</v>
      </c>
      <c r="N6" s="104" t="s">
        <v>240</v>
      </c>
      <c r="O6" s="104" t="s">
        <v>239</v>
      </c>
      <c r="P6" s="104" t="s">
        <v>240</v>
      </c>
      <c r="Q6" s="104" t="s">
        <v>1238</v>
      </c>
      <c r="R6" s="1552"/>
      <c r="S6" s="1560"/>
    </row>
    <row r="7" spans="1:255" ht="69.75" customHeight="1">
      <c r="A7" s="101"/>
      <c r="B7" s="1190" t="s">
        <v>311</v>
      </c>
      <c r="C7" s="1191">
        <f>C8+C12+C15+C18+C24+C26+C35+C38+C42</f>
        <v>9500000000</v>
      </c>
      <c r="D7" s="1191">
        <f>D8+D12+D15+D18+D24+D26+D35+D38+D42</f>
        <v>9500000000.4160004</v>
      </c>
      <c r="E7" s="627"/>
      <c r="F7" s="628"/>
      <c r="G7" s="627" t="s">
        <v>73</v>
      </c>
      <c r="H7" s="629"/>
      <c r="I7" s="629"/>
      <c r="J7" s="629"/>
      <c r="K7" s="629"/>
      <c r="L7" s="629"/>
      <c r="M7" s="629"/>
      <c r="N7" s="629"/>
      <c r="O7" s="629"/>
      <c r="P7" s="629"/>
      <c r="Q7" s="645"/>
      <c r="R7" s="647"/>
      <c r="S7" s="648"/>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row>
    <row r="8" spans="1:255" ht="50.25" customHeight="1">
      <c r="B8" s="1192" t="s">
        <v>312</v>
      </c>
      <c r="C8" s="1193">
        <f>C9</f>
        <v>1560000000</v>
      </c>
      <c r="D8" s="1193">
        <f>D9</f>
        <v>1560000000</v>
      </c>
      <c r="E8" s="108"/>
      <c r="F8" s="109"/>
      <c r="G8" s="106"/>
      <c r="H8" s="110"/>
      <c r="I8" s="106"/>
      <c r="J8" s="106"/>
      <c r="K8" s="106"/>
      <c r="L8" s="106"/>
      <c r="M8" s="106"/>
      <c r="N8" s="106"/>
      <c r="O8" s="106"/>
      <c r="P8" s="105"/>
      <c r="Q8" s="121"/>
      <c r="R8" s="121"/>
      <c r="S8" s="121"/>
    </row>
    <row r="9" spans="1:255" ht="78.75">
      <c r="B9" s="1194" t="s">
        <v>313</v>
      </c>
      <c r="C9" s="1195">
        <v>1560000000</v>
      </c>
      <c r="D9" s="1195">
        <v>1560000000</v>
      </c>
      <c r="E9" s="109" t="s">
        <v>162</v>
      </c>
      <c r="F9" s="109" t="s">
        <v>37</v>
      </c>
      <c r="G9" s="112" t="s">
        <v>314</v>
      </c>
      <c r="H9" s="1195">
        <f>D9</f>
        <v>1560000000</v>
      </c>
      <c r="I9" s="113">
        <v>42124</v>
      </c>
      <c r="J9" s="113" t="s">
        <v>37</v>
      </c>
      <c r="K9" s="113">
        <v>42124</v>
      </c>
      <c r="L9" s="113">
        <v>42155</v>
      </c>
      <c r="M9" s="113">
        <v>42185</v>
      </c>
      <c r="N9" s="105">
        <f>H9*0.3</f>
        <v>468000000</v>
      </c>
      <c r="O9" s="113">
        <v>42308</v>
      </c>
      <c r="P9" s="105">
        <f>H9</f>
        <v>1560000000</v>
      </c>
      <c r="Q9" s="547" t="s">
        <v>1239</v>
      </c>
      <c r="R9" s="121"/>
      <c r="S9" s="1196" t="s">
        <v>2241</v>
      </c>
      <c r="T9" s="17" t="s">
        <v>2322</v>
      </c>
    </row>
    <row r="10" spans="1:255" ht="71.25" customHeight="1">
      <c r="B10" s="1192" t="s">
        <v>315</v>
      </c>
      <c r="C10" s="1193">
        <f>C11</f>
        <v>0</v>
      </c>
      <c r="D10" s="1193">
        <f>D11</f>
        <v>0</v>
      </c>
      <c r="E10" s="106"/>
      <c r="F10" s="109" t="s">
        <v>37</v>
      </c>
      <c r="G10" s="106"/>
      <c r="H10" s="106"/>
      <c r="I10" s="106"/>
      <c r="J10" s="106"/>
      <c r="K10" s="109"/>
      <c r="L10" s="109"/>
      <c r="M10" s="109"/>
      <c r="N10" s="106"/>
      <c r="O10" s="109"/>
      <c r="P10" s="106"/>
      <c r="Q10" s="121"/>
      <c r="R10" s="121"/>
      <c r="S10" s="1019"/>
    </row>
    <row r="11" spans="1:255" ht="106.5" customHeight="1">
      <c r="B11" s="1197" t="s">
        <v>1240</v>
      </c>
      <c r="C11" s="1195">
        <v>0</v>
      </c>
      <c r="D11" s="1195">
        <v>0</v>
      </c>
      <c r="E11" s="109" t="s">
        <v>162</v>
      </c>
      <c r="F11" s="109" t="s">
        <v>37</v>
      </c>
      <c r="G11" s="112" t="s">
        <v>316</v>
      </c>
      <c r="H11" s="1561" t="s">
        <v>258</v>
      </c>
      <c r="I11" s="1561"/>
      <c r="J11" s="1561"/>
      <c r="K11" s="1561"/>
      <c r="L11" s="1561"/>
      <c r="M11" s="1561"/>
      <c r="N11" s="1561"/>
      <c r="O11" s="1561"/>
      <c r="P11" s="1561"/>
      <c r="Q11" s="547" t="s">
        <v>317</v>
      </c>
      <c r="R11" s="121"/>
      <c r="S11" s="1198" t="s">
        <v>2242</v>
      </c>
      <c r="T11" s="17" t="s">
        <v>2322</v>
      </c>
    </row>
    <row r="12" spans="1:255" ht="60.75" customHeight="1">
      <c r="B12" s="1199" t="s">
        <v>318</v>
      </c>
      <c r="C12" s="1193">
        <f>C13</f>
        <v>1000000000</v>
      </c>
      <c r="D12" s="1193">
        <f>D14+D13</f>
        <v>2152063985</v>
      </c>
      <c r="E12" s="106"/>
      <c r="F12" s="109"/>
      <c r="G12" s="106"/>
      <c r="H12" s="106"/>
      <c r="I12" s="106"/>
      <c r="J12" s="106"/>
      <c r="K12" s="109"/>
      <c r="L12" s="109"/>
      <c r="M12" s="109"/>
      <c r="N12" s="106"/>
      <c r="O12" s="109"/>
      <c r="P12" s="106"/>
      <c r="Q12" s="121"/>
      <c r="R12" s="121"/>
      <c r="S12" s="1019"/>
    </row>
    <row r="13" spans="1:255" ht="90">
      <c r="B13" s="1197" t="s">
        <v>319</v>
      </c>
      <c r="C13" s="1195">
        <v>1000000000</v>
      </c>
      <c r="D13" s="1195">
        <v>1455000000</v>
      </c>
      <c r="E13" s="109" t="s">
        <v>162</v>
      </c>
      <c r="F13" s="109" t="s">
        <v>37</v>
      </c>
      <c r="G13" s="112" t="s">
        <v>320</v>
      </c>
      <c r="H13" s="105">
        <f>D13</f>
        <v>1455000000</v>
      </c>
      <c r="I13" s="113">
        <v>42155</v>
      </c>
      <c r="J13" s="113" t="s">
        <v>37</v>
      </c>
      <c r="K13" s="113">
        <v>42124</v>
      </c>
      <c r="L13" s="113">
        <v>42185</v>
      </c>
      <c r="M13" s="113">
        <v>42216</v>
      </c>
      <c r="N13" s="105">
        <f>H13*0.4</f>
        <v>582000000</v>
      </c>
      <c r="O13" s="113">
        <v>42308</v>
      </c>
      <c r="P13" s="105">
        <f>H13</f>
        <v>1455000000</v>
      </c>
      <c r="Q13" s="547" t="s">
        <v>1241</v>
      </c>
      <c r="R13" s="121"/>
      <c r="S13" s="1196" t="s">
        <v>2243</v>
      </c>
      <c r="T13" s="17" t="s">
        <v>2322</v>
      </c>
    </row>
    <row r="14" spans="1:255" ht="51">
      <c r="B14" s="1197" t="s">
        <v>2244</v>
      </c>
      <c r="C14" s="1195"/>
      <c r="D14" s="1195">
        <v>697063985</v>
      </c>
      <c r="E14" s="109" t="s">
        <v>162</v>
      </c>
      <c r="F14" s="109"/>
      <c r="G14" s="1200" t="s">
        <v>2244</v>
      </c>
      <c r="H14" s="105"/>
      <c r="I14" s="113"/>
      <c r="J14" s="113" t="s">
        <v>37</v>
      </c>
      <c r="K14" s="113">
        <v>42124</v>
      </c>
      <c r="L14" s="113">
        <v>42125</v>
      </c>
      <c r="M14" s="113" t="s">
        <v>37</v>
      </c>
      <c r="N14" s="105"/>
      <c r="O14" s="113">
        <v>42217</v>
      </c>
      <c r="P14" s="105">
        <v>697063985</v>
      </c>
      <c r="Q14" s="547"/>
      <c r="R14" s="121"/>
      <c r="S14" s="1196" t="s">
        <v>2245</v>
      </c>
      <c r="T14" s="17" t="s">
        <v>2322</v>
      </c>
    </row>
    <row r="15" spans="1:255" ht="63" customHeight="1">
      <c r="B15" s="1192" t="s">
        <v>321</v>
      </c>
      <c r="C15" s="1193">
        <f>C16</f>
        <v>300000000</v>
      </c>
      <c r="D15" s="1193">
        <f>D16+D17</f>
        <v>266350000</v>
      </c>
      <c r="E15" s="106"/>
      <c r="F15" s="109"/>
      <c r="G15" s="106"/>
      <c r="H15" s="106"/>
      <c r="I15" s="106"/>
      <c r="J15" s="106"/>
      <c r="K15" s="109"/>
      <c r="L15" s="109"/>
      <c r="M15" s="109"/>
      <c r="N15" s="106"/>
      <c r="O15" s="109"/>
      <c r="P15" s="106"/>
      <c r="Q15" s="121"/>
      <c r="R15" s="121"/>
      <c r="S15" s="1019"/>
    </row>
    <row r="16" spans="1:255" ht="60" customHeight="1">
      <c r="B16" s="1194" t="s">
        <v>322</v>
      </c>
      <c r="C16" s="1195">
        <v>300000000</v>
      </c>
      <c r="D16" s="1195">
        <v>232000000</v>
      </c>
      <c r="E16" s="109" t="s">
        <v>162</v>
      </c>
      <c r="F16" s="109" t="s">
        <v>37</v>
      </c>
      <c r="G16" s="112" t="s">
        <v>323</v>
      </c>
      <c r="H16" s="105">
        <f>D16</f>
        <v>232000000</v>
      </c>
      <c r="I16" s="113">
        <v>42093</v>
      </c>
      <c r="J16" s="113" t="s">
        <v>37</v>
      </c>
      <c r="K16" s="113">
        <v>42093</v>
      </c>
      <c r="L16" s="113">
        <v>42155</v>
      </c>
      <c r="M16" s="113" t="s">
        <v>37</v>
      </c>
      <c r="N16" s="113" t="s">
        <v>258</v>
      </c>
      <c r="O16" s="113">
        <v>42246</v>
      </c>
      <c r="P16" s="105">
        <f>H16</f>
        <v>232000000</v>
      </c>
      <c r="Q16" s="547" t="s">
        <v>1242</v>
      </c>
      <c r="R16" s="121"/>
      <c r="S16" s="1196" t="s">
        <v>2246</v>
      </c>
      <c r="T16" s="17" t="s">
        <v>2322</v>
      </c>
    </row>
    <row r="17" spans="1:255" ht="60" customHeight="1">
      <c r="B17" s="1194" t="s">
        <v>2247</v>
      </c>
      <c r="C17" s="1195"/>
      <c r="D17" s="1195">
        <v>34350000</v>
      </c>
      <c r="E17" s="109" t="s">
        <v>162</v>
      </c>
      <c r="F17" s="109" t="s">
        <v>37</v>
      </c>
      <c r="G17" s="1194" t="s">
        <v>2248</v>
      </c>
      <c r="H17" s="105">
        <f>D17</f>
        <v>34350000</v>
      </c>
      <c r="I17" s="113">
        <v>42309</v>
      </c>
      <c r="J17" s="113" t="s">
        <v>37</v>
      </c>
      <c r="K17" s="113">
        <v>42309</v>
      </c>
      <c r="L17" s="113">
        <v>42309</v>
      </c>
      <c r="M17" s="113" t="s">
        <v>37</v>
      </c>
      <c r="N17" s="113" t="s">
        <v>258</v>
      </c>
      <c r="O17" s="113">
        <v>42309</v>
      </c>
      <c r="P17" s="105">
        <f>H17</f>
        <v>34350000</v>
      </c>
      <c r="Q17" s="547"/>
      <c r="R17" s="121"/>
      <c r="S17" s="1196" t="s">
        <v>2249</v>
      </c>
      <c r="T17" s="17" t="s">
        <v>2322</v>
      </c>
    </row>
    <row r="18" spans="1:255" ht="51.75" customHeight="1">
      <c r="B18" s="1192" t="s">
        <v>324</v>
      </c>
      <c r="C18" s="1193">
        <f>C19+C20</f>
        <v>1640000000</v>
      </c>
      <c r="D18" s="1193">
        <f>D19+D20+D21+D22+D23</f>
        <v>1695390845.4160001</v>
      </c>
      <c r="E18" s="105"/>
      <c r="F18" s="109"/>
      <c r="G18" s="106"/>
      <c r="H18" s="106"/>
      <c r="I18" s="109"/>
      <c r="J18" s="106"/>
      <c r="K18" s="109"/>
      <c r="L18" s="109"/>
      <c r="M18" s="109"/>
      <c r="N18" s="106"/>
      <c r="O18" s="109"/>
      <c r="P18" s="106"/>
      <c r="Q18" s="121"/>
      <c r="R18" s="121"/>
      <c r="S18" s="1019"/>
    </row>
    <row r="19" spans="1:255" ht="54.75" customHeight="1">
      <c r="B19" s="1201" t="s">
        <v>141</v>
      </c>
      <c r="C19" s="1195">
        <v>1555000000</v>
      </c>
      <c r="D19" s="1195">
        <v>1492000000</v>
      </c>
      <c r="E19" s="109" t="s">
        <v>162</v>
      </c>
      <c r="F19" s="109" t="s">
        <v>37</v>
      </c>
      <c r="G19" s="112" t="s">
        <v>325</v>
      </c>
      <c r="H19" s="105">
        <v>1587216873</v>
      </c>
      <c r="I19" s="113">
        <v>42216</v>
      </c>
      <c r="J19" s="113" t="s">
        <v>37</v>
      </c>
      <c r="K19" s="113">
        <v>42247</v>
      </c>
      <c r="L19" s="113">
        <v>42308</v>
      </c>
      <c r="M19" s="113" t="s">
        <v>37</v>
      </c>
      <c r="N19" s="113" t="s">
        <v>258</v>
      </c>
      <c r="O19" s="113">
        <v>42338</v>
      </c>
      <c r="P19" s="105">
        <f>H19</f>
        <v>1587216873</v>
      </c>
      <c r="Q19" s="547" t="s">
        <v>1243</v>
      </c>
      <c r="R19" s="121"/>
      <c r="S19" s="1196" t="s">
        <v>2250</v>
      </c>
      <c r="T19" s="17" t="s">
        <v>2322</v>
      </c>
    </row>
    <row r="20" spans="1:255" ht="83.25" customHeight="1">
      <c r="B20" s="1202" t="s">
        <v>326</v>
      </c>
      <c r="C20" s="1195">
        <v>85000000</v>
      </c>
      <c r="D20" s="1195">
        <v>47727820</v>
      </c>
      <c r="E20" s="109" t="s">
        <v>162</v>
      </c>
      <c r="F20" s="109" t="s">
        <v>37</v>
      </c>
      <c r="G20" s="115" t="s">
        <v>326</v>
      </c>
      <c r="H20" s="105">
        <v>47727820</v>
      </c>
      <c r="I20" s="113">
        <v>42216</v>
      </c>
      <c r="J20" s="113" t="s">
        <v>37</v>
      </c>
      <c r="K20" s="113">
        <v>42247</v>
      </c>
      <c r="L20" s="113">
        <v>42308</v>
      </c>
      <c r="M20" s="113" t="s">
        <v>37</v>
      </c>
      <c r="N20" s="113" t="s">
        <v>258</v>
      </c>
      <c r="O20" s="113">
        <v>42338</v>
      </c>
      <c r="P20" s="105">
        <f>H20</f>
        <v>47727820</v>
      </c>
      <c r="Q20" s="121" t="s">
        <v>1244</v>
      </c>
      <c r="R20" s="121"/>
      <c r="S20" s="1196" t="s">
        <v>2251</v>
      </c>
      <c r="T20" s="17" t="s">
        <v>2322</v>
      </c>
    </row>
    <row r="21" spans="1:255" ht="59.25" customHeight="1">
      <c r="B21" s="1202" t="s">
        <v>2252</v>
      </c>
      <c r="C21" s="1195"/>
      <c r="D21" s="1195">
        <f>51164955*1.004</f>
        <v>51369614.82</v>
      </c>
      <c r="E21" s="109" t="s">
        <v>162</v>
      </c>
      <c r="F21" s="109" t="s">
        <v>37</v>
      </c>
      <c r="G21" s="1202" t="s">
        <v>2253</v>
      </c>
      <c r="H21" s="105">
        <f>D21</f>
        <v>51369614.82</v>
      </c>
      <c r="I21" s="113">
        <v>42309</v>
      </c>
      <c r="J21" s="113" t="s">
        <v>37</v>
      </c>
      <c r="K21" s="113">
        <v>42309</v>
      </c>
      <c r="L21" s="113">
        <v>42339</v>
      </c>
      <c r="M21" s="113" t="s">
        <v>37</v>
      </c>
      <c r="N21" s="113" t="s">
        <v>258</v>
      </c>
      <c r="O21" s="113">
        <v>42339</v>
      </c>
      <c r="P21" s="105">
        <f>H21</f>
        <v>51369614.82</v>
      </c>
      <c r="Q21" s="121"/>
      <c r="R21" s="121"/>
      <c r="S21" s="1196" t="s">
        <v>2254</v>
      </c>
      <c r="T21" s="17" t="s">
        <v>2322</v>
      </c>
    </row>
    <row r="22" spans="1:255" ht="59.25" customHeight="1">
      <c r="B22" s="1202" t="s">
        <v>2255</v>
      </c>
      <c r="C22" s="1195"/>
      <c r="D22" s="1195">
        <f>52391563*1.004</f>
        <v>52601129.251999997</v>
      </c>
      <c r="E22" s="109" t="s">
        <v>162</v>
      </c>
      <c r="F22" s="109" t="s">
        <v>37</v>
      </c>
      <c r="G22" s="1202" t="s">
        <v>2256</v>
      </c>
      <c r="H22" s="105">
        <f>D22</f>
        <v>52601129.251999997</v>
      </c>
      <c r="I22" s="113">
        <v>42309</v>
      </c>
      <c r="J22" s="113" t="s">
        <v>37</v>
      </c>
      <c r="K22" s="113">
        <v>42309</v>
      </c>
      <c r="L22" s="113">
        <v>42339</v>
      </c>
      <c r="M22" s="113" t="s">
        <v>37</v>
      </c>
      <c r="N22" s="113" t="s">
        <v>258</v>
      </c>
      <c r="O22" s="113">
        <v>42339</v>
      </c>
      <c r="P22" s="105">
        <f>H22</f>
        <v>52601129.251999997</v>
      </c>
      <c r="Q22" s="121"/>
      <c r="R22" s="121"/>
      <c r="S22" s="1196" t="s">
        <v>2254</v>
      </c>
      <c r="T22" s="17" t="s">
        <v>2322</v>
      </c>
    </row>
    <row r="23" spans="1:255" ht="59.25" customHeight="1">
      <c r="B23" s="1202" t="s">
        <v>2257</v>
      </c>
      <c r="C23" s="1195"/>
      <c r="D23" s="1195">
        <f>51486336*1.004</f>
        <v>51692281.343999997</v>
      </c>
      <c r="E23" s="109" t="s">
        <v>162</v>
      </c>
      <c r="F23" s="109" t="s">
        <v>37</v>
      </c>
      <c r="G23" s="1202" t="s">
        <v>2258</v>
      </c>
      <c r="H23" s="105">
        <f>D23</f>
        <v>51692281.343999997</v>
      </c>
      <c r="I23" s="113">
        <v>75211</v>
      </c>
      <c r="J23" s="113" t="s">
        <v>37</v>
      </c>
      <c r="K23" s="113">
        <v>75211</v>
      </c>
      <c r="L23" s="113">
        <v>42339</v>
      </c>
      <c r="M23" s="113" t="s">
        <v>37</v>
      </c>
      <c r="N23" s="113" t="s">
        <v>258</v>
      </c>
      <c r="O23" s="113">
        <v>42339</v>
      </c>
      <c r="P23" s="105">
        <f>H23</f>
        <v>51692281.343999997</v>
      </c>
      <c r="Q23" s="121"/>
      <c r="R23" s="121"/>
      <c r="S23" s="1196" t="s">
        <v>2254</v>
      </c>
      <c r="T23" s="17" t="s">
        <v>2322</v>
      </c>
    </row>
    <row r="24" spans="1:255" ht="82.5" customHeight="1">
      <c r="B24" s="1192" t="s">
        <v>327</v>
      </c>
      <c r="C24" s="1193">
        <f>C25</f>
        <v>500000000</v>
      </c>
      <c r="D24" s="1193">
        <f>D25</f>
        <v>642600000</v>
      </c>
      <c r="E24" s="106"/>
      <c r="F24" s="109"/>
      <c r="G24" s="106"/>
      <c r="H24" s="106"/>
      <c r="I24" s="106"/>
      <c r="J24" s="106"/>
      <c r="K24" s="109"/>
      <c r="L24" s="109"/>
      <c r="M24" s="109"/>
      <c r="N24" s="106"/>
      <c r="O24" s="109"/>
      <c r="P24" s="106"/>
      <c r="Q24" s="121"/>
      <c r="R24" s="121"/>
      <c r="S24" s="1019"/>
    </row>
    <row r="25" spans="1:255" ht="96" customHeight="1">
      <c r="B25" s="1203" t="s">
        <v>328</v>
      </c>
      <c r="C25" s="1195">
        <v>500000000</v>
      </c>
      <c r="D25" s="1195">
        <v>642600000</v>
      </c>
      <c r="E25" s="109" t="s">
        <v>162</v>
      </c>
      <c r="F25" s="109" t="s">
        <v>37</v>
      </c>
      <c r="G25" s="112" t="s">
        <v>329</v>
      </c>
      <c r="H25" s="105">
        <f>D25</f>
        <v>642600000</v>
      </c>
      <c r="I25" s="113">
        <v>42185</v>
      </c>
      <c r="J25" s="113" t="s">
        <v>37</v>
      </c>
      <c r="K25" s="113">
        <v>42185</v>
      </c>
      <c r="L25" s="113">
        <v>42247</v>
      </c>
      <c r="M25" s="113" t="s">
        <v>37</v>
      </c>
      <c r="N25" s="113" t="s">
        <v>258</v>
      </c>
      <c r="O25" s="113">
        <v>42369</v>
      </c>
      <c r="P25" s="105">
        <f>D25</f>
        <v>642600000</v>
      </c>
      <c r="Q25" s="121" t="s">
        <v>1245</v>
      </c>
      <c r="R25" s="121"/>
      <c r="S25" s="1196" t="s">
        <v>2259</v>
      </c>
      <c r="T25" s="17" t="s">
        <v>2322</v>
      </c>
    </row>
    <row r="26" spans="1:255" s="20" customFormat="1" ht="90" customHeight="1">
      <c r="A26" s="17"/>
      <c r="B26" s="1192" t="s">
        <v>330</v>
      </c>
      <c r="C26" s="1193">
        <f>C27+C28+C29+C30+C31+C32</f>
        <v>1204020667</v>
      </c>
      <c r="D26" s="1193">
        <f>D27+D28+D29+D30+D31+D32+D34+D33</f>
        <v>1062595170</v>
      </c>
      <c r="E26" s="105"/>
      <c r="F26" s="1100"/>
      <c r="G26" s="106"/>
      <c r="H26" s="106"/>
      <c r="I26" s="109"/>
      <c r="J26" s="106"/>
      <c r="K26" s="109"/>
      <c r="L26" s="109"/>
      <c r="M26" s="109"/>
      <c r="N26" s="106"/>
      <c r="O26" s="109"/>
      <c r="P26" s="106"/>
      <c r="Q26" s="121"/>
      <c r="R26" s="121"/>
      <c r="S26" s="1019"/>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ht="78" customHeight="1">
      <c r="B27" s="1203" t="s">
        <v>331</v>
      </c>
      <c r="C27" s="1195">
        <v>524777266</v>
      </c>
      <c r="D27" s="1195">
        <v>513000000</v>
      </c>
      <c r="E27" s="109" t="s">
        <v>162</v>
      </c>
      <c r="F27" s="109" t="s">
        <v>37</v>
      </c>
      <c r="G27" s="112" t="s">
        <v>332</v>
      </c>
      <c r="H27" s="105">
        <f t="shared" ref="H27:H33" si="0">D27</f>
        <v>513000000</v>
      </c>
      <c r="I27" s="113">
        <v>42093</v>
      </c>
      <c r="J27" s="113" t="s">
        <v>37</v>
      </c>
      <c r="K27" s="625">
        <v>42093</v>
      </c>
      <c r="L27" s="113">
        <v>42155</v>
      </c>
      <c r="M27" s="113" t="s">
        <v>37</v>
      </c>
      <c r="N27" s="113" t="s">
        <v>258</v>
      </c>
      <c r="O27" s="113">
        <v>42246</v>
      </c>
      <c r="P27" s="105">
        <f t="shared" ref="P27:P33" si="1">H27</f>
        <v>513000000</v>
      </c>
      <c r="Q27" s="547" t="s">
        <v>1246</v>
      </c>
      <c r="R27" s="121"/>
      <c r="S27" s="1196" t="s">
        <v>2260</v>
      </c>
      <c r="T27" s="17" t="s">
        <v>2322</v>
      </c>
    </row>
    <row r="28" spans="1:255" ht="56.25">
      <c r="B28" s="1203" t="s">
        <v>333</v>
      </c>
      <c r="C28" s="1195">
        <v>244243401</v>
      </c>
      <c r="D28" s="1195">
        <f>155400000+5073054</f>
        <v>160473054</v>
      </c>
      <c r="E28" s="109" t="s">
        <v>162</v>
      </c>
      <c r="F28" s="1100" t="s">
        <v>37</v>
      </c>
      <c r="G28" s="116" t="s">
        <v>333</v>
      </c>
      <c r="H28" s="105">
        <f t="shared" si="0"/>
        <v>160473054</v>
      </c>
      <c r="I28" s="113">
        <v>42124</v>
      </c>
      <c r="J28" s="117" t="s">
        <v>334</v>
      </c>
      <c r="K28" s="113">
        <v>42154</v>
      </c>
      <c r="L28" s="113">
        <v>42185</v>
      </c>
      <c r="M28" s="113" t="s">
        <v>37</v>
      </c>
      <c r="N28" s="113" t="s">
        <v>258</v>
      </c>
      <c r="O28" s="113">
        <v>42369</v>
      </c>
      <c r="P28" s="105">
        <f t="shared" si="1"/>
        <v>160473054</v>
      </c>
      <c r="Q28" s="547" t="s">
        <v>1247</v>
      </c>
      <c r="R28" s="121"/>
      <c r="S28" s="1196" t="s">
        <v>2261</v>
      </c>
      <c r="T28" s="17" t="s">
        <v>2322</v>
      </c>
    </row>
    <row r="29" spans="1:255" ht="175.5" customHeight="1">
      <c r="B29" s="1194" t="s">
        <v>65</v>
      </c>
      <c r="C29" s="1195">
        <v>150000000</v>
      </c>
      <c r="D29" s="1195">
        <v>247500000</v>
      </c>
      <c r="E29" s="109" t="s">
        <v>162</v>
      </c>
      <c r="F29" s="109" t="s">
        <v>37</v>
      </c>
      <c r="G29" s="112" t="s">
        <v>335</v>
      </c>
      <c r="H29" s="105">
        <f t="shared" si="0"/>
        <v>247500000</v>
      </c>
      <c r="I29" s="113">
        <v>42155</v>
      </c>
      <c r="J29" s="113" t="s">
        <v>37</v>
      </c>
      <c r="K29" s="113">
        <v>42155</v>
      </c>
      <c r="L29" s="113">
        <v>42185</v>
      </c>
      <c r="M29" s="113" t="s">
        <v>37</v>
      </c>
      <c r="N29" s="113" t="s">
        <v>258</v>
      </c>
      <c r="O29" s="113">
        <v>42246</v>
      </c>
      <c r="P29" s="105">
        <f t="shared" si="1"/>
        <v>247500000</v>
      </c>
      <c r="Q29" s="121" t="s">
        <v>1245</v>
      </c>
      <c r="R29" s="121"/>
      <c r="S29" s="1196" t="s">
        <v>2262</v>
      </c>
      <c r="T29" s="17" t="s">
        <v>2322</v>
      </c>
    </row>
    <row r="30" spans="1:255" ht="198.75" customHeight="1">
      <c r="B30" s="1194" t="s">
        <v>2263</v>
      </c>
      <c r="C30" s="1195">
        <v>100000000</v>
      </c>
      <c r="D30" s="1195">
        <v>0</v>
      </c>
      <c r="E30" s="109" t="s">
        <v>162</v>
      </c>
      <c r="F30" s="109" t="s">
        <v>37</v>
      </c>
      <c r="G30" s="112" t="str">
        <f>B30</f>
        <v>Adquisición, instalación  y puesta en funcionamiento de solución informática de software para las áreas misionales, que apoye la gestión del SSP “State Safety Program”  y SMS “Safety Management System” ** eliminar **  para la Aeronáutica Civil.
(Fase -  Entrega documento de entendimiento y validación de requerimientos funcionales y técnicos)</v>
      </c>
      <c r="H30" s="105">
        <f t="shared" si="0"/>
        <v>0</v>
      </c>
      <c r="I30" s="113">
        <v>42246</v>
      </c>
      <c r="J30" s="117" t="s">
        <v>336</v>
      </c>
      <c r="K30" s="113">
        <v>42246</v>
      </c>
      <c r="L30" s="113">
        <v>42338</v>
      </c>
      <c r="M30" s="113" t="s">
        <v>37</v>
      </c>
      <c r="N30" s="113" t="s">
        <v>258</v>
      </c>
      <c r="O30" s="113">
        <v>42369</v>
      </c>
      <c r="P30" s="105">
        <f t="shared" si="1"/>
        <v>0</v>
      </c>
      <c r="Q30" s="547" t="s">
        <v>1248</v>
      </c>
      <c r="R30" s="121"/>
      <c r="S30" s="1196" t="s">
        <v>2264</v>
      </c>
      <c r="T30" s="17" t="s">
        <v>2322</v>
      </c>
    </row>
    <row r="31" spans="1:255" ht="31.5" customHeight="1">
      <c r="B31" s="1194" t="s">
        <v>66</v>
      </c>
      <c r="C31" s="1195">
        <v>85000000</v>
      </c>
      <c r="D31" s="1195">
        <v>50000000</v>
      </c>
      <c r="E31" s="109" t="s">
        <v>162</v>
      </c>
      <c r="F31" s="109" t="s">
        <v>37</v>
      </c>
      <c r="G31" s="112" t="s">
        <v>337</v>
      </c>
      <c r="H31" s="105">
        <f t="shared" si="0"/>
        <v>50000000</v>
      </c>
      <c r="I31" s="113">
        <v>42216</v>
      </c>
      <c r="J31" s="113" t="s">
        <v>37</v>
      </c>
      <c r="K31" s="113">
        <v>42216</v>
      </c>
      <c r="L31" s="113">
        <v>42246</v>
      </c>
      <c r="M31" s="113" t="s">
        <v>37</v>
      </c>
      <c r="N31" s="113" t="s">
        <v>258</v>
      </c>
      <c r="O31" s="113">
        <v>42246</v>
      </c>
      <c r="P31" s="105">
        <v>0</v>
      </c>
      <c r="Q31" s="121" t="s">
        <v>1245</v>
      </c>
      <c r="R31" s="121"/>
      <c r="S31" s="1196" t="s">
        <v>2265</v>
      </c>
      <c r="T31" s="17" t="s">
        <v>2322</v>
      </c>
    </row>
    <row r="32" spans="1:255" ht="67.5">
      <c r="B32" s="1194" t="s">
        <v>338</v>
      </c>
      <c r="C32" s="1195">
        <v>100000000</v>
      </c>
      <c r="D32" s="1195">
        <v>58122116</v>
      </c>
      <c r="E32" s="109" t="s">
        <v>162</v>
      </c>
      <c r="F32" s="109" t="s">
        <v>37</v>
      </c>
      <c r="G32" s="118" t="s">
        <v>339</v>
      </c>
      <c r="H32" s="105">
        <f t="shared" si="0"/>
        <v>58122116</v>
      </c>
      <c r="I32" s="113">
        <v>42246</v>
      </c>
      <c r="J32" s="117" t="s">
        <v>336</v>
      </c>
      <c r="K32" s="113">
        <v>42246</v>
      </c>
      <c r="L32" s="113">
        <v>42338</v>
      </c>
      <c r="M32" s="113" t="s">
        <v>37</v>
      </c>
      <c r="N32" s="113" t="s">
        <v>258</v>
      </c>
      <c r="O32" s="113">
        <v>42369</v>
      </c>
      <c r="P32" s="105">
        <f t="shared" si="1"/>
        <v>58122116</v>
      </c>
      <c r="Q32" s="121" t="s">
        <v>1245</v>
      </c>
      <c r="R32" s="121"/>
      <c r="S32" s="1196" t="s">
        <v>2266</v>
      </c>
      <c r="T32" s="17" t="s">
        <v>2322</v>
      </c>
    </row>
    <row r="33" spans="1:255" ht="36" customHeight="1">
      <c r="B33" s="1194" t="s">
        <v>2267</v>
      </c>
      <c r="C33" s="1195"/>
      <c r="D33" s="1195">
        <v>33500000</v>
      </c>
      <c r="E33" s="109" t="s">
        <v>162</v>
      </c>
      <c r="F33" s="109" t="s">
        <v>37</v>
      </c>
      <c r="G33" s="1194" t="s">
        <v>2268</v>
      </c>
      <c r="H33" s="105">
        <f t="shared" si="0"/>
        <v>33500000</v>
      </c>
      <c r="I33" s="113"/>
      <c r="J33" s="117"/>
      <c r="K33" s="113"/>
      <c r="L33" s="113"/>
      <c r="M33" s="113"/>
      <c r="N33" s="113"/>
      <c r="O33" s="113"/>
      <c r="P33" s="105">
        <f t="shared" si="1"/>
        <v>33500000</v>
      </c>
      <c r="Q33" s="121"/>
      <c r="R33" s="121"/>
      <c r="S33" s="1196" t="s">
        <v>2269</v>
      </c>
      <c r="T33" s="17" t="s">
        <v>2322</v>
      </c>
    </row>
    <row r="34" spans="1:255" s="20" customFormat="1" ht="51">
      <c r="A34" s="17"/>
      <c r="B34" s="1194" t="s">
        <v>1249</v>
      </c>
      <c r="C34" s="1195">
        <v>0</v>
      </c>
      <c r="D34" s="1195">
        <v>0</v>
      </c>
      <c r="E34" s="109" t="s">
        <v>162</v>
      </c>
      <c r="F34" s="109" t="s">
        <v>37</v>
      </c>
      <c r="G34" s="112" t="s">
        <v>340</v>
      </c>
      <c r="H34" s="105">
        <f>C34</f>
        <v>0</v>
      </c>
      <c r="I34" s="119"/>
      <c r="J34" s="113" t="s">
        <v>37</v>
      </c>
      <c r="K34" s="113"/>
      <c r="L34" s="113"/>
      <c r="M34" s="113"/>
      <c r="N34" s="105">
        <f>H34*0.3</f>
        <v>0</v>
      </c>
      <c r="O34" s="113">
        <v>42308</v>
      </c>
      <c r="P34" s="105">
        <f>H34</f>
        <v>0</v>
      </c>
      <c r="Q34" s="121"/>
      <c r="R34" s="121"/>
      <c r="S34" s="1019" t="s">
        <v>2270</v>
      </c>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ht="77.25" customHeight="1">
      <c r="B35" s="1192" t="s">
        <v>341</v>
      </c>
      <c r="C35" s="1193">
        <f>C36</f>
        <v>400000000</v>
      </c>
      <c r="D35" s="1193">
        <f>D36+D37</f>
        <v>411000000</v>
      </c>
      <c r="E35" s="106"/>
      <c r="F35" s="109"/>
      <c r="G35" s="106"/>
      <c r="H35" s="106"/>
      <c r="I35" s="119"/>
      <c r="J35" s="119"/>
      <c r="K35" s="113"/>
      <c r="L35" s="113"/>
      <c r="M35" s="120"/>
      <c r="N35" s="121"/>
      <c r="O35" s="113"/>
      <c r="P35" s="121"/>
      <c r="Q35" s="121"/>
      <c r="R35" s="121"/>
      <c r="S35" s="1019"/>
    </row>
    <row r="36" spans="1:255" ht="102">
      <c r="B36" s="1203" t="s">
        <v>342</v>
      </c>
      <c r="C36" s="1195">
        <v>400000000</v>
      </c>
      <c r="D36" s="1195">
        <v>351000000</v>
      </c>
      <c r="E36" s="109" t="s">
        <v>162</v>
      </c>
      <c r="F36" s="109" t="s">
        <v>37</v>
      </c>
      <c r="G36" s="112" t="s">
        <v>343</v>
      </c>
      <c r="H36" s="105">
        <f>C36</f>
        <v>400000000</v>
      </c>
      <c r="I36" s="119">
        <v>42124</v>
      </c>
      <c r="J36" s="113" t="s">
        <v>37</v>
      </c>
      <c r="K36" s="113">
        <v>42154</v>
      </c>
      <c r="L36" s="113">
        <v>42216</v>
      </c>
      <c r="M36" s="113" t="s">
        <v>37</v>
      </c>
      <c r="N36" s="113" t="s">
        <v>258</v>
      </c>
      <c r="O36" s="113">
        <v>42369</v>
      </c>
      <c r="P36" s="105">
        <f>H36</f>
        <v>400000000</v>
      </c>
      <c r="Q36" s="547" t="s">
        <v>1250</v>
      </c>
      <c r="R36" s="121"/>
      <c r="S36" s="1196" t="s">
        <v>2271</v>
      </c>
      <c r="T36" s="17" t="s">
        <v>2322</v>
      </c>
    </row>
    <row r="37" spans="1:255" ht="42" customHeight="1">
      <c r="B37" s="1203" t="s">
        <v>2272</v>
      </c>
      <c r="C37" s="1195"/>
      <c r="D37" s="1195">
        <v>60000000</v>
      </c>
      <c r="E37" s="109" t="s">
        <v>162</v>
      </c>
      <c r="F37" s="109" t="s">
        <v>37</v>
      </c>
      <c r="G37" s="1203" t="s">
        <v>2273</v>
      </c>
      <c r="H37" s="105">
        <f>D37</f>
        <v>60000000</v>
      </c>
      <c r="I37" s="119">
        <v>42309</v>
      </c>
      <c r="J37" s="113" t="s">
        <v>37</v>
      </c>
      <c r="K37" s="119">
        <v>42309</v>
      </c>
      <c r="L37" s="119">
        <v>42309</v>
      </c>
      <c r="M37" s="113" t="s">
        <v>37</v>
      </c>
      <c r="N37" s="113" t="s">
        <v>258</v>
      </c>
      <c r="O37" s="113">
        <v>42339</v>
      </c>
      <c r="P37" s="105">
        <f>D37</f>
        <v>60000000</v>
      </c>
      <c r="Q37" s="547"/>
      <c r="R37" s="121"/>
      <c r="S37" s="1196" t="s">
        <v>2274</v>
      </c>
      <c r="T37" s="17" t="s">
        <v>2322</v>
      </c>
    </row>
    <row r="38" spans="1:255" ht="62.25" customHeight="1">
      <c r="B38" s="1192" t="s">
        <v>344</v>
      </c>
      <c r="C38" s="1193">
        <f>C39+C40+C41</f>
        <v>2745979333</v>
      </c>
      <c r="D38" s="1193">
        <f>D39+D40+D41</f>
        <v>1710000000</v>
      </c>
      <c r="E38" s="105"/>
      <c r="F38" s="109"/>
      <c r="G38" s="106"/>
      <c r="H38" s="105"/>
      <c r="I38" s="119"/>
      <c r="J38" s="119"/>
      <c r="K38" s="113"/>
      <c r="L38" s="113"/>
      <c r="M38" s="120"/>
      <c r="N38" s="121"/>
      <c r="O38" s="113"/>
      <c r="P38" s="121"/>
      <c r="Q38" s="121"/>
      <c r="R38" s="121"/>
      <c r="S38" s="121"/>
    </row>
    <row r="39" spans="1:255" ht="58.5" customHeight="1">
      <c r="B39" s="1197" t="s">
        <v>2275</v>
      </c>
      <c r="C39" s="1195">
        <v>261000000</v>
      </c>
      <c r="D39" s="1195">
        <v>261000000</v>
      </c>
      <c r="E39" s="109" t="s">
        <v>162</v>
      </c>
      <c r="F39" s="109" t="s">
        <v>37</v>
      </c>
      <c r="G39" s="112" t="s">
        <v>345</v>
      </c>
      <c r="H39" s="105">
        <f>C39</f>
        <v>261000000</v>
      </c>
      <c r="I39" s="1576" t="s">
        <v>220</v>
      </c>
      <c r="J39" s="1576"/>
      <c r="K39" s="1576"/>
      <c r="L39" s="1576"/>
      <c r="M39" s="1576"/>
      <c r="N39" s="1576"/>
      <c r="O39" s="113">
        <v>42369</v>
      </c>
      <c r="P39" s="122">
        <f>C39</f>
        <v>261000000</v>
      </c>
      <c r="Q39" s="121"/>
      <c r="R39" s="121"/>
      <c r="S39" s="121" t="s">
        <v>2276</v>
      </c>
      <c r="T39" s="17" t="s">
        <v>2322</v>
      </c>
    </row>
    <row r="40" spans="1:255" ht="60.75" customHeight="1">
      <c r="B40" s="1194" t="s">
        <v>2277</v>
      </c>
      <c r="C40" s="1195">
        <v>1218213440</v>
      </c>
      <c r="D40" s="1195">
        <v>1218213439</v>
      </c>
      <c r="E40" s="109" t="s">
        <v>162</v>
      </c>
      <c r="F40" s="109" t="s">
        <v>37</v>
      </c>
      <c r="G40" s="112" t="s">
        <v>345</v>
      </c>
      <c r="H40" s="105">
        <f>D40</f>
        <v>1218213439</v>
      </c>
      <c r="I40" s="113">
        <v>42246</v>
      </c>
      <c r="J40" s="123" t="s">
        <v>37</v>
      </c>
      <c r="K40" s="113">
        <v>42246</v>
      </c>
      <c r="L40" s="113">
        <v>42338</v>
      </c>
      <c r="M40" s="113" t="s">
        <v>37</v>
      </c>
      <c r="N40" s="113" t="s">
        <v>258</v>
      </c>
      <c r="O40" s="113">
        <v>42246</v>
      </c>
      <c r="P40" s="105">
        <f>H40</f>
        <v>1218213439</v>
      </c>
      <c r="Q40" s="121" t="s">
        <v>1251</v>
      </c>
      <c r="R40" s="121"/>
      <c r="S40" s="547" t="s">
        <v>2278</v>
      </c>
      <c r="T40" s="17" t="s">
        <v>2322</v>
      </c>
    </row>
    <row r="41" spans="1:255" ht="111.75" customHeight="1">
      <c r="B41" s="1194" t="s">
        <v>2279</v>
      </c>
      <c r="C41" s="1195">
        <v>1266765893</v>
      </c>
      <c r="D41" s="1195">
        <v>230786561</v>
      </c>
      <c r="E41" s="109" t="s">
        <v>162</v>
      </c>
      <c r="F41" s="109" t="s">
        <v>37</v>
      </c>
      <c r="G41" s="118" t="s">
        <v>2280</v>
      </c>
      <c r="H41" s="105">
        <f>D41</f>
        <v>230786561</v>
      </c>
      <c r="I41" s="113">
        <v>42246</v>
      </c>
      <c r="J41" s="123" t="s">
        <v>37</v>
      </c>
      <c r="K41" s="113">
        <v>42246</v>
      </c>
      <c r="L41" s="113">
        <v>42338</v>
      </c>
      <c r="M41" s="113" t="s">
        <v>37</v>
      </c>
      <c r="N41" s="113" t="s">
        <v>258</v>
      </c>
      <c r="O41" s="113">
        <v>42369</v>
      </c>
      <c r="P41" s="105"/>
      <c r="Q41" s="121"/>
      <c r="R41" s="121"/>
      <c r="S41" s="547" t="s">
        <v>2281</v>
      </c>
      <c r="T41" s="17" t="s">
        <v>2322</v>
      </c>
    </row>
    <row r="42" spans="1:255" ht="87.75" customHeight="1">
      <c r="B42" s="1204" t="s">
        <v>346</v>
      </c>
      <c r="C42" s="1193">
        <f>C43</f>
        <v>150000000</v>
      </c>
      <c r="D42" s="1193">
        <f>D43</f>
        <v>0</v>
      </c>
      <c r="E42" s="106"/>
      <c r="F42" s="109"/>
      <c r="G42" s="106"/>
      <c r="H42" s="105"/>
      <c r="I42" s="119"/>
      <c r="J42" s="119"/>
      <c r="K42" s="113"/>
      <c r="L42" s="113"/>
      <c r="M42" s="120"/>
      <c r="N42" s="121"/>
      <c r="O42" s="113"/>
      <c r="P42" s="121"/>
      <c r="Q42" s="121"/>
      <c r="R42" s="121"/>
      <c r="S42" s="121"/>
    </row>
    <row r="43" spans="1:255" ht="56.25" customHeight="1">
      <c r="B43" s="1205" t="s">
        <v>2282</v>
      </c>
      <c r="C43" s="1195">
        <v>150000000</v>
      </c>
      <c r="D43" s="1195">
        <v>0</v>
      </c>
      <c r="E43" s="109" t="s">
        <v>162</v>
      </c>
      <c r="F43" s="109" t="s">
        <v>37</v>
      </c>
      <c r="G43" s="1205" t="s">
        <v>347</v>
      </c>
      <c r="H43" s="105">
        <v>0</v>
      </c>
      <c r="I43" s="113">
        <v>42185</v>
      </c>
      <c r="J43" s="113" t="s">
        <v>37</v>
      </c>
      <c r="K43" s="113">
        <v>42185</v>
      </c>
      <c r="L43" s="113">
        <v>42246</v>
      </c>
      <c r="M43" s="113" t="s">
        <v>37</v>
      </c>
      <c r="N43" s="113" t="s">
        <v>258</v>
      </c>
      <c r="O43" s="113">
        <v>42369</v>
      </c>
      <c r="P43" s="105">
        <f>H43</f>
        <v>0</v>
      </c>
      <c r="Q43" s="121" t="s">
        <v>1245</v>
      </c>
      <c r="R43" s="121"/>
      <c r="S43" s="121" t="s">
        <v>2283</v>
      </c>
      <c r="T43" s="17" t="s">
        <v>2325</v>
      </c>
    </row>
    <row r="44" spans="1:255" ht="27" customHeight="1" thickBot="1">
      <c r="K44" s="632">
        <v>3</v>
      </c>
      <c r="M44" s="635" t="s">
        <v>1304</v>
      </c>
      <c r="N44" s="635"/>
      <c r="O44" s="635"/>
      <c r="P44" s="636">
        <v>1</v>
      </c>
      <c r="R44" s="642"/>
      <c r="S44" s="643"/>
    </row>
    <row r="45" spans="1:255" ht="92.25" customHeight="1">
      <c r="B45" s="626" t="s">
        <v>348</v>
      </c>
      <c r="C45" s="1191">
        <f>C48+C50+C54+C58</f>
        <v>6642000000.2577095</v>
      </c>
      <c r="D45" s="1191">
        <f>D48+D50+D54+D58+D84</f>
        <v>6602000000</v>
      </c>
      <c r="E45" s="627"/>
      <c r="F45" s="631" t="s">
        <v>37</v>
      </c>
      <c r="G45" s="629"/>
      <c r="H45" s="629"/>
      <c r="I45" s="629"/>
      <c r="J45" s="629"/>
      <c r="K45" s="629"/>
      <c r="L45" s="629"/>
      <c r="M45" s="629"/>
      <c r="N45" s="629"/>
      <c r="O45" s="630"/>
      <c r="P45" s="630"/>
      <c r="Q45" s="645"/>
      <c r="R45" s="642"/>
      <c r="S45" s="643"/>
    </row>
    <row r="46" spans="1:255" ht="44.25" customHeight="1">
      <c r="B46" s="107" t="s">
        <v>349</v>
      </c>
      <c r="C46" s="1206">
        <f>C47</f>
        <v>0</v>
      </c>
      <c r="D46" s="1206">
        <v>0</v>
      </c>
      <c r="E46" s="124"/>
      <c r="F46" s="124"/>
      <c r="G46" s="106"/>
      <c r="H46" s="106"/>
      <c r="I46" s="106"/>
      <c r="J46" s="106"/>
      <c r="K46" s="106"/>
      <c r="L46" s="106"/>
      <c r="M46" s="106"/>
      <c r="N46" s="105"/>
      <c r="O46" s="121"/>
      <c r="P46" s="121"/>
      <c r="Q46" s="525"/>
      <c r="R46" s="642"/>
      <c r="S46" s="643"/>
    </row>
    <row r="47" spans="1:255" ht="22.5">
      <c r="B47" s="114" t="s">
        <v>350</v>
      </c>
      <c r="C47" s="1195">
        <v>0</v>
      </c>
      <c r="D47" s="1195"/>
      <c r="E47" s="109" t="s">
        <v>162</v>
      </c>
      <c r="F47" s="109" t="s">
        <v>37</v>
      </c>
      <c r="G47" s="111" t="s">
        <v>350</v>
      </c>
      <c r="H47" s="1561" t="s">
        <v>258</v>
      </c>
      <c r="I47" s="1561"/>
      <c r="J47" s="1561"/>
      <c r="K47" s="1561"/>
      <c r="L47" s="1561"/>
      <c r="M47" s="1561"/>
      <c r="N47" s="1561"/>
      <c r="O47" s="1561"/>
      <c r="P47" s="1561"/>
      <c r="Q47" s="644" t="s">
        <v>351</v>
      </c>
      <c r="R47" s="642"/>
      <c r="S47" s="1207" t="s">
        <v>2284</v>
      </c>
    </row>
    <row r="48" spans="1:255" ht="42" customHeight="1">
      <c r="B48" s="107" t="s">
        <v>8</v>
      </c>
      <c r="C48" s="1206">
        <f>C49</f>
        <v>37836248</v>
      </c>
      <c r="D48" s="1206">
        <f>D49</f>
        <v>30099920</v>
      </c>
      <c r="E48" s="106"/>
      <c r="F48" s="106"/>
      <c r="G48" s="106"/>
      <c r="H48" s="106"/>
      <c r="I48" s="106"/>
      <c r="J48" s="106"/>
      <c r="K48" s="106"/>
      <c r="L48" s="106"/>
      <c r="M48" s="106"/>
      <c r="N48" s="106"/>
      <c r="O48" s="121"/>
      <c r="P48" s="121"/>
      <c r="Q48" s="525"/>
      <c r="R48" s="642"/>
      <c r="S48" s="643"/>
    </row>
    <row r="49" spans="1:255" ht="39" customHeight="1">
      <c r="B49" s="114" t="s">
        <v>352</v>
      </c>
      <c r="C49" s="1195">
        <v>37836248</v>
      </c>
      <c r="D49" s="1195">
        <v>30099920</v>
      </c>
      <c r="E49" s="109" t="s">
        <v>162</v>
      </c>
      <c r="F49" s="106" t="s">
        <v>37</v>
      </c>
      <c r="G49" s="111" t="s">
        <v>352</v>
      </c>
      <c r="H49" s="1195">
        <v>30099920</v>
      </c>
      <c r="I49" s="119">
        <v>42095</v>
      </c>
      <c r="J49" s="119" t="s">
        <v>37</v>
      </c>
      <c r="K49" s="119">
        <v>42095</v>
      </c>
      <c r="L49" s="119">
        <v>42125</v>
      </c>
      <c r="M49" s="119" t="s">
        <v>37</v>
      </c>
      <c r="N49" s="105" t="s">
        <v>258</v>
      </c>
      <c r="O49" s="125">
        <v>42217</v>
      </c>
      <c r="P49" s="105">
        <v>29980000</v>
      </c>
      <c r="Q49" s="644" t="s">
        <v>353</v>
      </c>
      <c r="R49" s="642"/>
      <c r="S49" s="643" t="s">
        <v>2285</v>
      </c>
      <c r="T49" s="17" t="s">
        <v>2322</v>
      </c>
    </row>
    <row r="50" spans="1:255" s="20" customFormat="1" ht="60.75" customHeight="1">
      <c r="A50" s="17"/>
      <c r="B50" s="107" t="s">
        <v>9</v>
      </c>
      <c r="C50" s="1206">
        <f>C53+C51</f>
        <v>1752779564.25771</v>
      </c>
      <c r="D50" s="1206">
        <f>D51+D52+D53</f>
        <v>1346735608</v>
      </c>
      <c r="E50" s="106"/>
      <c r="F50" s="106"/>
      <c r="G50" s="106"/>
      <c r="H50" s="106"/>
      <c r="I50" s="106"/>
      <c r="J50" s="106"/>
      <c r="K50" s="106"/>
      <c r="L50" s="106"/>
      <c r="M50" s="106"/>
      <c r="N50" s="106"/>
      <c r="O50" s="121"/>
      <c r="P50" s="121"/>
      <c r="Q50" s="525"/>
      <c r="R50" s="642"/>
      <c r="S50" s="643"/>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ht="57" customHeight="1">
      <c r="B51" s="111" t="s">
        <v>354</v>
      </c>
      <c r="C51" s="1195">
        <v>752803236</v>
      </c>
      <c r="D51" s="1195">
        <v>752803236</v>
      </c>
      <c r="E51" s="109" t="s">
        <v>162</v>
      </c>
      <c r="F51" s="106" t="s">
        <v>37</v>
      </c>
      <c r="G51" s="111" t="s">
        <v>354</v>
      </c>
      <c r="H51" s="105">
        <f>C51</f>
        <v>752803236</v>
      </c>
      <c r="I51" s="119" t="s">
        <v>72</v>
      </c>
      <c r="J51" s="119" t="s">
        <v>72</v>
      </c>
      <c r="K51" s="119" t="s">
        <v>37</v>
      </c>
      <c r="L51" s="105" t="s">
        <v>258</v>
      </c>
      <c r="M51" s="119" t="s">
        <v>37</v>
      </c>
      <c r="N51" s="105" t="s">
        <v>258</v>
      </c>
      <c r="O51" s="119">
        <v>42339</v>
      </c>
      <c r="P51" s="105">
        <v>746992403</v>
      </c>
      <c r="Q51" s="525"/>
      <c r="R51" s="642"/>
      <c r="S51" s="643" t="s">
        <v>2286</v>
      </c>
      <c r="T51" s="17" t="s">
        <v>2322</v>
      </c>
    </row>
    <row r="52" spans="1:255" ht="71.25" customHeight="1">
      <c r="B52" s="111" t="s">
        <v>2287</v>
      </c>
      <c r="C52" s="1195">
        <v>64370564</v>
      </c>
      <c r="D52" s="1195">
        <v>64370564</v>
      </c>
      <c r="E52" s="109" t="s">
        <v>162</v>
      </c>
      <c r="F52" s="106" t="s">
        <v>37</v>
      </c>
      <c r="G52" s="111" t="s">
        <v>2287</v>
      </c>
      <c r="H52" s="1195">
        <v>64370564</v>
      </c>
      <c r="I52" s="119">
        <v>42156</v>
      </c>
      <c r="J52" s="119" t="s">
        <v>37</v>
      </c>
      <c r="K52" s="119">
        <v>42156</v>
      </c>
      <c r="L52" s="119">
        <v>42186</v>
      </c>
      <c r="M52" s="119" t="s">
        <v>37</v>
      </c>
      <c r="N52" s="105" t="s">
        <v>258</v>
      </c>
      <c r="O52" s="125">
        <v>42248</v>
      </c>
      <c r="P52" s="105">
        <v>64114070</v>
      </c>
      <c r="Q52" s="525"/>
      <c r="R52" s="642"/>
      <c r="S52" s="643" t="s">
        <v>2288</v>
      </c>
      <c r="T52" s="17" t="s">
        <v>2322</v>
      </c>
    </row>
    <row r="53" spans="1:255" ht="95.25" customHeight="1" thickBot="1">
      <c r="B53" s="111" t="s">
        <v>355</v>
      </c>
      <c r="C53" s="1195">
        <v>999976328.25770998</v>
      </c>
      <c r="D53" s="1195">
        <v>529561808</v>
      </c>
      <c r="E53" s="109" t="s">
        <v>162</v>
      </c>
      <c r="F53" s="106" t="s">
        <v>37</v>
      </c>
      <c r="G53" s="111" t="s">
        <v>356</v>
      </c>
      <c r="H53" s="1195">
        <v>529561808</v>
      </c>
      <c r="I53" s="119">
        <v>42095</v>
      </c>
      <c r="J53" s="119" t="s">
        <v>14</v>
      </c>
      <c r="K53" s="119">
        <v>42125</v>
      </c>
      <c r="L53" s="119">
        <v>42278</v>
      </c>
      <c r="M53" s="119" t="s">
        <v>37</v>
      </c>
      <c r="N53" s="105" t="s">
        <v>258</v>
      </c>
      <c r="O53" s="119">
        <v>42339</v>
      </c>
      <c r="P53" s="1208">
        <v>385162218</v>
      </c>
      <c r="Q53" s="646" t="s">
        <v>357</v>
      </c>
      <c r="R53" s="642"/>
      <c r="S53" s="1207" t="s">
        <v>2289</v>
      </c>
      <c r="T53" s="17" t="s">
        <v>2322</v>
      </c>
    </row>
    <row r="54" spans="1:255" ht="34.5" customHeight="1">
      <c r="B54" s="107" t="s">
        <v>10</v>
      </c>
      <c r="C54" s="1206">
        <f>C55</f>
        <v>1286366494</v>
      </c>
      <c r="D54" s="1206">
        <f>D55</f>
        <v>1286366494</v>
      </c>
      <c r="E54" s="106"/>
      <c r="F54" s="106"/>
      <c r="G54" s="111"/>
      <c r="H54" s="106"/>
      <c r="I54" s="106"/>
      <c r="J54" s="106"/>
      <c r="K54" s="106"/>
      <c r="L54" s="106"/>
      <c r="M54" s="106"/>
      <c r="N54" s="106"/>
      <c r="O54" s="121"/>
      <c r="P54" s="121"/>
      <c r="Q54" s="525"/>
      <c r="R54" s="642"/>
      <c r="S54" s="643"/>
    </row>
    <row r="55" spans="1:255" ht="37.5" customHeight="1">
      <c r="B55" s="111" t="s">
        <v>10</v>
      </c>
      <c r="C55" s="1195">
        <v>1286366494</v>
      </c>
      <c r="D55" s="1195">
        <v>1286366494</v>
      </c>
      <c r="E55" s="109" t="s">
        <v>162</v>
      </c>
      <c r="F55" s="106" t="s">
        <v>37</v>
      </c>
      <c r="G55" s="111" t="s">
        <v>358</v>
      </c>
      <c r="H55" s="105">
        <f>C55</f>
        <v>1286366494</v>
      </c>
      <c r="I55" s="119">
        <v>42036</v>
      </c>
      <c r="J55" s="119" t="s">
        <v>37</v>
      </c>
      <c r="K55" s="634">
        <v>42036</v>
      </c>
      <c r="L55" s="119">
        <v>42064</v>
      </c>
      <c r="M55" s="119" t="s">
        <v>37</v>
      </c>
      <c r="N55" s="105" t="s">
        <v>258</v>
      </c>
      <c r="O55" s="119">
        <v>42339</v>
      </c>
      <c r="P55" s="105">
        <v>1286366494</v>
      </c>
      <c r="Q55" s="644" t="s">
        <v>1252</v>
      </c>
      <c r="R55" s="642"/>
      <c r="S55" s="643" t="s">
        <v>2290</v>
      </c>
      <c r="T55" s="17" t="s">
        <v>2322</v>
      </c>
    </row>
    <row r="56" spans="1:255" ht="60" customHeight="1">
      <c r="B56" s="107" t="s">
        <v>12</v>
      </c>
      <c r="C56" s="1206">
        <f>C57</f>
        <v>0</v>
      </c>
      <c r="D56" s="1206">
        <f>D57</f>
        <v>0</v>
      </c>
      <c r="E56" s="106"/>
      <c r="F56" s="106"/>
      <c r="G56" s="106"/>
      <c r="H56" s="106"/>
      <c r="I56" s="106"/>
      <c r="J56" s="106"/>
      <c r="K56" s="106"/>
      <c r="L56" s="106"/>
      <c r="M56" s="106"/>
      <c r="N56" s="106"/>
      <c r="O56" s="121"/>
      <c r="P56" s="121"/>
      <c r="Q56" s="525"/>
      <c r="R56" s="642"/>
      <c r="S56" s="643"/>
    </row>
    <row r="57" spans="1:255" ht="51">
      <c r="B57" s="111" t="s">
        <v>12</v>
      </c>
      <c r="C57" s="1195">
        <v>0</v>
      </c>
      <c r="D57" s="1195">
        <v>0</v>
      </c>
      <c r="E57" s="109" t="s">
        <v>162</v>
      </c>
      <c r="F57" s="106" t="s">
        <v>37</v>
      </c>
      <c r="G57" s="126" t="s">
        <v>12</v>
      </c>
      <c r="H57" s="1561" t="s">
        <v>258</v>
      </c>
      <c r="I57" s="1561"/>
      <c r="J57" s="1561"/>
      <c r="K57" s="1561"/>
      <c r="L57" s="1561"/>
      <c r="M57" s="1561"/>
      <c r="N57" s="1561"/>
      <c r="O57" s="1561"/>
      <c r="P57" s="1561"/>
      <c r="Q57" s="644" t="s">
        <v>359</v>
      </c>
      <c r="R57" s="642"/>
      <c r="S57" s="1207" t="s">
        <v>2291</v>
      </c>
    </row>
    <row r="58" spans="1:255" ht="12.75">
      <c r="B58" s="107" t="s">
        <v>360</v>
      </c>
      <c r="C58" s="1193">
        <f>SUM(C59:C83)</f>
        <v>3565017694</v>
      </c>
      <c r="D58" s="1193">
        <f>SUM(D59:D83)</f>
        <v>3932184219</v>
      </c>
      <c r="E58" s="106"/>
      <c r="F58" s="106"/>
      <c r="G58" s="127"/>
      <c r="H58" s="106"/>
      <c r="I58" s="106"/>
      <c r="J58" s="106"/>
      <c r="K58" s="106"/>
      <c r="L58" s="106"/>
      <c r="M58" s="106"/>
      <c r="N58" s="106"/>
      <c r="O58" s="121"/>
      <c r="P58" s="121"/>
      <c r="Q58" s="525"/>
      <c r="R58" s="642"/>
      <c r="S58" s="643"/>
    </row>
    <row r="59" spans="1:255" ht="16.5" customHeight="1">
      <c r="B59" s="128" t="s">
        <v>361</v>
      </c>
      <c r="C59" s="1209">
        <v>105730823</v>
      </c>
      <c r="D59" s="1209">
        <v>105730823</v>
      </c>
      <c r="E59" s="1562" t="s">
        <v>162</v>
      </c>
      <c r="F59" s="1564" t="s">
        <v>37</v>
      </c>
      <c r="G59" s="1566" t="s">
        <v>2292</v>
      </c>
      <c r="H59" s="105">
        <f t="shared" ref="H59:H83" si="2">C59</f>
        <v>105730823</v>
      </c>
      <c r="I59" s="119">
        <v>42036</v>
      </c>
      <c r="J59" s="1568" t="s">
        <v>37</v>
      </c>
      <c r="K59" s="633">
        <v>42064</v>
      </c>
      <c r="L59" s="119">
        <v>42095</v>
      </c>
      <c r="M59" s="1568" t="s">
        <v>37</v>
      </c>
      <c r="N59" s="1570" t="s">
        <v>258</v>
      </c>
      <c r="O59" s="1572">
        <v>42339</v>
      </c>
      <c r="P59" s="105">
        <v>105730823</v>
      </c>
      <c r="Q59" s="525"/>
      <c r="R59" s="642"/>
      <c r="S59" s="1577" t="s">
        <v>2293</v>
      </c>
      <c r="T59" s="17" t="s">
        <v>2322</v>
      </c>
    </row>
    <row r="60" spans="1:255" ht="17.25" customHeight="1">
      <c r="B60" s="128" t="s">
        <v>2294</v>
      </c>
      <c r="C60" s="1210"/>
      <c r="D60" s="1210">
        <v>52654024</v>
      </c>
      <c r="E60" s="1563"/>
      <c r="F60" s="1565"/>
      <c r="G60" s="1567"/>
      <c r="H60" s="1210">
        <v>52654024</v>
      </c>
      <c r="I60" s="119">
        <v>42248</v>
      </c>
      <c r="J60" s="1569"/>
      <c r="K60" s="633">
        <v>42248</v>
      </c>
      <c r="L60" s="119">
        <v>42248</v>
      </c>
      <c r="M60" s="1569"/>
      <c r="N60" s="1571"/>
      <c r="O60" s="1573"/>
      <c r="P60" s="105">
        <v>52654024</v>
      </c>
      <c r="Q60" s="525"/>
      <c r="R60" s="642"/>
      <c r="S60" s="1578"/>
    </row>
    <row r="61" spans="1:255" ht="21" customHeight="1">
      <c r="B61" s="128" t="s">
        <v>362</v>
      </c>
      <c r="C61" s="129">
        <v>151988506</v>
      </c>
      <c r="D61" s="129">
        <v>151988506</v>
      </c>
      <c r="E61" s="1562" t="s">
        <v>162</v>
      </c>
      <c r="F61" s="1564" t="s">
        <v>37</v>
      </c>
      <c r="G61" s="1579" t="s">
        <v>2295</v>
      </c>
      <c r="H61" s="105">
        <f t="shared" si="2"/>
        <v>151988506</v>
      </c>
      <c r="I61" s="119">
        <v>42036</v>
      </c>
      <c r="J61" s="1568" t="s">
        <v>37</v>
      </c>
      <c r="K61" s="633">
        <v>42036</v>
      </c>
      <c r="L61" s="119">
        <v>42095</v>
      </c>
      <c r="M61" s="1568" t="s">
        <v>37</v>
      </c>
      <c r="N61" s="1570" t="s">
        <v>258</v>
      </c>
      <c r="O61" s="1572">
        <v>42339</v>
      </c>
      <c r="P61" s="105">
        <v>151988506</v>
      </c>
      <c r="Q61" s="525" t="s">
        <v>1253</v>
      </c>
      <c r="R61" s="642"/>
      <c r="S61" s="1577" t="s">
        <v>2293</v>
      </c>
      <c r="T61" s="17" t="s">
        <v>2322</v>
      </c>
    </row>
    <row r="62" spans="1:255" ht="24" customHeight="1">
      <c r="B62" s="128" t="s">
        <v>2296</v>
      </c>
      <c r="C62" s="1211"/>
      <c r="D62" s="1211">
        <v>75802000</v>
      </c>
      <c r="E62" s="1563"/>
      <c r="F62" s="1565"/>
      <c r="G62" s="1567"/>
      <c r="H62" s="1211">
        <v>75802000</v>
      </c>
      <c r="I62" s="119">
        <v>42248</v>
      </c>
      <c r="J62" s="1569"/>
      <c r="K62" s="633">
        <v>42248</v>
      </c>
      <c r="L62" s="119">
        <v>42278</v>
      </c>
      <c r="M62" s="1569"/>
      <c r="N62" s="1571"/>
      <c r="O62" s="1573"/>
      <c r="P62" s="105">
        <v>75802000</v>
      </c>
      <c r="Q62" s="525"/>
      <c r="R62" s="642"/>
      <c r="S62" s="1578"/>
    </row>
    <row r="63" spans="1:255" ht="30.75" customHeight="1">
      <c r="B63" s="128" t="s">
        <v>363</v>
      </c>
      <c r="C63" s="131">
        <v>111546337</v>
      </c>
      <c r="D63" s="131">
        <v>111546337</v>
      </c>
      <c r="E63" s="109" t="s">
        <v>162</v>
      </c>
      <c r="F63" s="106" t="s">
        <v>37</v>
      </c>
      <c r="G63" s="130" t="s">
        <v>2297</v>
      </c>
      <c r="H63" s="105">
        <f t="shared" si="2"/>
        <v>111546337</v>
      </c>
      <c r="I63" s="119">
        <v>42036</v>
      </c>
      <c r="J63" s="119" t="s">
        <v>37</v>
      </c>
      <c r="K63" s="634">
        <v>42064</v>
      </c>
      <c r="L63" s="119">
        <v>42064</v>
      </c>
      <c r="M63" s="119" t="s">
        <v>37</v>
      </c>
      <c r="N63" s="105" t="s">
        <v>258</v>
      </c>
      <c r="O63" s="119">
        <v>42339</v>
      </c>
      <c r="P63" s="105">
        <v>111546337</v>
      </c>
      <c r="Q63" s="525"/>
      <c r="R63" s="642"/>
      <c r="S63" s="643" t="s">
        <v>2293</v>
      </c>
      <c r="T63" s="17" t="s">
        <v>2322</v>
      </c>
    </row>
    <row r="64" spans="1:255" ht="30.75" customHeight="1">
      <c r="B64" s="134" t="s">
        <v>364</v>
      </c>
      <c r="C64" s="132">
        <v>528469011</v>
      </c>
      <c r="D64" s="132">
        <v>528469011</v>
      </c>
      <c r="E64" s="109" t="s">
        <v>162</v>
      </c>
      <c r="F64" s="106" t="s">
        <v>37</v>
      </c>
      <c r="G64" s="130" t="s">
        <v>2298</v>
      </c>
      <c r="H64" s="105">
        <f t="shared" si="2"/>
        <v>528469011</v>
      </c>
      <c r="I64" s="133">
        <v>42093</v>
      </c>
      <c r="J64" s="119" t="s">
        <v>37</v>
      </c>
      <c r="K64" s="119">
        <v>42095</v>
      </c>
      <c r="L64" s="119">
        <v>42095</v>
      </c>
      <c r="M64" s="119" t="s">
        <v>37</v>
      </c>
      <c r="N64" s="105" t="s">
        <v>258</v>
      </c>
      <c r="O64" s="119">
        <v>42339</v>
      </c>
      <c r="P64" s="105">
        <v>528469011</v>
      </c>
      <c r="Q64" s="525"/>
      <c r="R64" s="642"/>
      <c r="S64" s="1207" t="s">
        <v>2299</v>
      </c>
      <c r="T64" s="17" t="s">
        <v>2322</v>
      </c>
    </row>
    <row r="65" spans="2:20" ht="30.75" customHeight="1">
      <c r="B65" s="128" t="s">
        <v>365</v>
      </c>
      <c r="C65" s="131">
        <v>118703521</v>
      </c>
      <c r="D65" s="131">
        <v>118703521</v>
      </c>
      <c r="E65" s="109" t="s">
        <v>162</v>
      </c>
      <c r="F65" s="106" t="s">
        <v>37</v>
      </c>
      <c r="G65" s="130" t="s">
        <v>2300</v>
      </c>
      <c r="H65" s="105">
        <f t="shared" si="2"/>
        <v>118703521</v>
      </c>
      <c r="I65" s="119">
        <v>42064</v>
      </c>
      <c r="J65" s="119" t="s">
        <v>37</v>
      </c>
      <c r="K65" s="633">
        <v>42064</v>
      </c>
      <c r="L65" s="119">
        <v>42095</v>
      </c>
      <c r="M65" s="119" t="s">
        <v>37</v>
      </c>
      <c r="N65" s="105" t="s">
        <v>258</v>
      </c>
      <c r="O65" s="119">
        <v>42339</v>
      </c>
      <c r="P65" s="105">
        <v>118703521</v>
      </c>
      <c r="Q65" s="525"/>
      <c r="R65" s="642"/>
      <c r="S65" s="643" t="s">
        <v>2293</v>
      </c>
      <c r="T65" s="17" t="s">
        <v>2322</v>
      </c>
    </row>
    <row r="66" spans="2:20" ht="59.25" customHeight="1">
      <c r="B66" s="128" t="s">
        <v>366</v>
      </c>
      <c r="C66" s="1212">
        <v>81524800</v>
      </c>
      <c r="D66" s="1212">
        <v>81524800</v>
      </c>
      <c r="E66" s="109" t="s">
        <v>162</v>
      </c>
      <c r="F66" s="106" t="s">
        <v>37</v>
      </c>
      <c r="G66" s="130" t="s">
        <v>2301</v>
      </c>
      <c r="H66" s="105">
        <f t="shared" si="2"/>
        <v>81524800</v>
      </c>
      <c r="I66" s="119">
        <v>42064</v>
      </c>
      <c r="J66" s="119" t="s">
        <v>37</v>
      </c>
      <c r="K66" s="633">
        <v>42064</v>
      </c>
      <c r="L66" s="119">
        <v>42248</v>
      </c>
      <c r="M66" s="119" t="s">
        <v>37</v>
      </c>
      <c r="N66" s="105" t="s">
        <v>258</v>
      </c>
      <c r="O66" s="119">
        <v>42339</v>
      </c>
      <c r="P66" s="105">
        <v>81524800</v>
      </c>
      <c r="Q66" s="525"/>
      <c r="R66" s="642"/>
      <c r="S66" s="643" t="s">
        <v>2293</v>
      </c>
      <c r="T66" s="17" t="s">
        <v>2322</v>
      </c>
    </row>
    <row r="67" spans="2:20" ht="30.75" customHeight="1">
      <c r="B67" s="128" t="s">
        <v>367</v>
      </c>
      <c r="C67" s="131">
        <v>1230038552</v>
      </c>
      <c r="D67" s="131">
        <v>1230038552</v>
      </c>
      <c r="E67" s="109" t="s">
        <v>162</v>
      </c>
      <c r="F67" s="106" t="s">
        <v>37</v>
      </c>
      <c r="G67" s="130" t="s">
        <v>2302</v>
      </c>
      <c r="H67" s="105">
        <f t="shared" si="2"/>
        <v>1230038552</v>
      </c>
      <c r="I67" s="119">
        <v>42060</v>
      </c>
      <c r="J67" s="119" t="s">
        <v>37</v>
      </c>
      <c r="K67" s="633">
        <v>42060</v>
      </c>
      <c r="L67" s="119">
        <v>42095</v>
      </c>
      <c r="M67" s="119" t="s">
        <v>37</v>
      </c>
      <c r="N67" s="105" t="s">
        <v>258</v>
      </c>
      <c r="O67" s="119">
        <v>42339</v>
      </c>
      <c r="P67" s="105">
        <v>1230038552</v>
      </c>
      <c r="Q67" s="525"/>
      <c r="R67" s="642"/>
      <c r="S67" s="643" t="s">
        <v>2293</v>
      </c>
      <c r="T67" s="17" t="s">
        <v>2322</v>
      </c>
    </row>
    <row r="68" spans="2:20" ht="30.75" customHeight="1">
      <c r="B68" s="128" t="s">
        <v>368</v>
      </c>
      <c r="C68" s="131">
        <v>174072268</v>
      </c>
      <c r="D68" s="131">
        <v>174072268</v>
      </c>
      <c r="E68" s="109" t="s">
        <v>162</v>
      </c>
      <c r="F68" s="106" t="s">
        <v>37</v>
      </c>
      <c r="G68" s="130" t="s">
        <v>2303</v>
      </c>
      <c r="H68" s="105">
        <f t="shared" si="2"/>
        <v>174072268</v>
      </c>
      <c r="I68" s="119">
        <v>42036</v>
      </c>
      <c r="J68" s="119" t="s">
        <v>37</v>
      </c>
      <c r="K68" s="633">
        <v>42064</v>
      </c>
      <c r="L68" s="119">
        <v>42095</v>
      </c>
      <c r="M68" s="119" t="s">
        <v>37</v>
      </c>
      <c r="N68" s="105" t="s">
        <v>258</v>
      </c>
      <c r="O68" s="119">
        <v>42339</v>
      </c>
      <c r="P68" s="105">
        <v>174072268</v>
      </c>
      <c r="Q68" s="525"/>
      <c r="R68" s="642"/>
      <c r="S68" s="643" t="s">
        <v>2293</v>
      </c>
      <c r="T68" s="17" t="s">
        <v>2322</v>
      </c>
    </row>
    <row r="69" spans="2:20" ht="30.75" customHeight="1">
      <c r="B69" s="128" t="s">
        <v>369</v>
      </c>
      <c r="C69" s="131">
        <v>100019632</v>
      </c>
      <c r="D69" s="131">
        <v>100019632</v>
      </c>
      <c r="E69" s="109" t="s">
        <v>162</v>
      </c>
      <c r="F69" s="106" t="s">
        <v>37</v>
      </c>
      <c r="G69" s="130" t="s">
        <v>2304</v>
      </c>
      <c r="H69" s="105">
        <f t="shared" si="2"/>
        <v>100019632</v>
      </c>
      <c r="I69" s="119">
        <v>42036</v>
      </c>
      <c r="J69" s="119" t="s">
        <v>37</v>
      </c>
      <c r="K69" s="633">
        <v>42064</v>
      </c>
      <c r="L69" s="119">
        <v>42095</v>
      </c>
      <c r="M69" s="119" t="s">
        <v>37</v>
      </c>
      <c r="N69" s="105" t="s">
        <v>258</v>
      </c>
      <c r="O69" s="119">
        <v>42339</v>
      </c>
      <c r="P69" s="105">
        <v>100019632</v>
      </c>
      <c r="Q69" s="525" t="s">
        <v>371</v>
      </c>
      <c r="R69" s="642"/>
      <c r="S69" s="643" t="s">
        <v>2293</v>
      </c>
      <c r="T69" s="17" t="s">
        <v>2322</v>
      </c>
    </row>
    <row r="70" spans="2:20" ht="30.75" customHeight="1">
      <c r="B70" s="128" t="s">
        <v>370</v>
      </c>
      <c r="C70" s="132">
        <v>22691655</v>
      </c>
      <c r="D70" s="1213">
        <v>22780760</v>
      </c>
      <c r="E70" s="109" t="s">
        <v>162</v>
      </c>
      <c r="F70" s="106" t="s">
        <v>37</v>
      </c>
      <c r="G70" s="130" t="s">
        <v>2305</v>
      </c>
      <c r="H70" s="105">
        <f t="shared" si="2"/>
        <v>22691655</v>
      </c>
      <c r="I70" s="119">
        <v>42217</v>
      </c>
      <c r="J70" s="119" t="s">
        <v>37</v>
      </c>
      <c r="K70" s="119">
        <v>42248</v>
      </c>
      <c r="L70" s="119">
        <v>42339</v>
      </c>
      <c r="M70" s="119" t="s">
        <v>37</v>
      </c>
      <c r="N70" s="105" t="s">
        <v>258</v>
      </c>
      <c r="O70" s="119">
        <v>42339</v>
      </c>
      <c r="P70" s="105">
        <v>22691655</v>
      </c>
      <c r="Q70" s="525"/>
      <c r="R70" s="642"/>
      <c r="S70" s="643" t="s">
        <v>2293</v>
      </c>
      <c r="T70" s="17" t="s">
        <v>2322</v>
      </c>
    </row>
    <row r="71" spans="2:20" ht="30.75" customHeight="1">
      <c r="B71" s="128" t="s">
        <v>2306</v>
      </c>
      <c r="C71" s="131">
        <v>38370201</v>
      </c>
      <c r="D71" s="131">
        <v>38370201</v>
      </c>
      <c r="E71" s="109" t="s">
        <v>162</v>
      </c>
      <c r="F71" s="106" t="s">
        <v>37</v>
      </c>
      <c r="G71" s="130" t="s">
        <v>2307</v>
      </c>
      <c r="H71" s="105">
        <f t="shared" si="2"/>
        <v>38370201</v>
      </c>
      <c r="I71" s="119">
        <v>42036</v>
      </c>
      <c r="J71" s="119" t="s">
        <v>37</v>
      </c>
      <c r="K71" s="634">
        <v>42064</v>
      </c>
      <c r="L71" s="119">
        <v>42064</v>
      </c>
      <c r="M71" s="119" t="s">
        <v>37</v>
      </c>
      <c r="N71" s="105" t="s">
        <v>258</v>
      </c>
      <c r="O71" s="119">
        <v>42339</v>
      </c>
      <c r="P71" s="105">
        <v>38370201</v>
      </c>
      <c r="Q71" s="525" t="s">
        <v>1253</v>
      </c>
      <c r="R71" s="642"/>
      <c r="S71" s="643" t="s">
        <v>2293</v>
      </c>
      <c r="T71" s="17" t="s">
        <v>2322</v>
      </c>
    </row>
    <row r="72" spans="2:20" ht="48" customHeight="1">
      <c r="B72" s="128" t="s">
        <v>372</v>
      </c>
      <c r="C72" s="1213">
        <f>142106197-42319166</f>
        <v>99787031</v>
      </c>
      <c r="D72" s="1213">
        <v>142106197</v>
      </c>
      <c r="E72" s="109" t="s">
        <v>162</v>
      </c>
      <c r="F72" s="106" t="s">
        <v>37</v>
      </c>
      <c r="G72" s="130" t="s">
        <v>2308</v>
      </c>
      <c r="H72" s="105">
        <f t="shared" si="2"/>
        <v>99787031</v>
      </c>
      <c r="I72" s="119">
        <v>42036</v>
      </c>
      <c r="J72" s="119" t="s">
        <v>37</v>
      </c>
      <c r="K72" s="633">
        <v>42064</v>
      </c>
      <c r="L72" s="119">
        <v>42339</v>
      </c>
      <c r="M72" s="119" t="s">
        <v>37</v>
      </c>
      <c r="N72" s="105" t="s">
        <v>258</v>
      </c>
      <c r="O72" s="119">
        <v>42339</v>
      </c>
      <c r="P72" s="1213">
        <v>142106197</v>
      </c>
      <c r="Q72" s="525"/>
      <c r="R72" s="642"/>
      <c r="S72" s="643" t="s">
        <v>2293</v>
      </c>
      <c r="T72" s="17" t="s">
        <v>2322</v>
      </c>
    </row>
    <row r="73" spans="2:20" ht="30.75" customHeight="1">
      <c r="B73" s="128" t="s">
        <v>373</v>
      </c>
      <c r="C73" s="1210">
        <v>140490404</v>
      </c>
      <c r="D73" s="1210">
        <v>140490404</v>
      </c>
      <c r="E73" s="109" t="s">
        <v>162</v>
      </c>
      <c r="F73" s="106" t="s">
        <v>37</v>
      </c>
      <c r="G73" s="130" t="s">
        <v>2309</v>
      </c>
      <c r="H73" s="105">
        <f t="shared" si="2"/>
        <v>140490404</v>
      </c>
      <c r="I73" s="119">
        <v>42217</v>
      </c>
      <c r="J73" s="119" t="s">
        <v>37</v>
      </c>
      <c r="K73" s="119">
        <v>42248</v>
      </c>
      <c r="L73" s="119">
        <v>42339</v>
      </c>
      <c r="M73" s="119" t="s">
        <v>37</v>
      </c>
      <c r="N73" s="105" t="s">
        <v>258</v>
      </c>
      <c r="O73" s="119">
        <v>42339</v>
      </c>
      <c r="P73" s="1210">
        <v>140490404</v>
      </c>
      <c r="Q73" s="525"/>
      <c r="R73" s="642"/>
      <c r="S73" s="643" t="s">
        <v>2293</v>
      </c>
      <c r="T73" s="17" t="s">
        <v>2322</v>
      </c>
    </row>
    <row r="74" spans="2:20" ht="30.75" customHeight="1">
      <c r="B74" s="128" t="s">
        <v>374</v>
      </c>
      <c r="C74" s="131">
        <v>306722000</v>
      </c>
      <c r="D74" s="131">
        <v>306722000</v>
      </c>
      <c r="E74" s="1562" t="s">
        <v>162</v>
      </c>
      <c r="F74" s="106" t="s">
        <v>37</v>
      </c>
      <c r="G74" s="1580" t="s">
        <v>2310</v>
      </c>
      <c r="H74" s="105">
        <f t="shared" si="2"/>
        <v>306722000</v>
      </c>
      <c r="I74" s="133">
        <v>42036</v>
      </c>
      <c r="J74" s="1568" t="s">
        <v>37</v>
      </c>
      <c r="K74" s="633">
        <v>42064</v>
      </c>
      <c r="L74" s="119">
        <v>42095</v>
      </c>
      <c r="M74" s="1568" t="s">
        <v>37</v>
      </c>
      <c r="N74" s="1582" t="s">
        <v>258</v>
      </c>
      <c r="O74" s="1572">
        <v>42339</v>
      </c>
      <c r="P74" s="105">
        <v>306722000</v>
      </c>
      <c r="Q74" s="525"/>
      <c r="R74" s="642"/>
      <c r="S74" s="1577" t="s">
        <v>2293</v>
      </c>
      <c r="T74" s="17" t="s">
        <v>2322</v>
      </c>
    </row>
    <row r="75" spans="2:20" ht="30.75" customHeight="1">
      <c r="B75" s="128" t="s">
        <v>2311</v>
      </c>
      <c r="C75" s="1213"/>
      <c r="D75" s="1213">
        <v>116515620</v>
      </c>
      <c r="E75" s="1563"/>
      <c r="F75" s="106" t="s">
        <v>37</v>
      </c>
      <c r="G75" s="1581"/>
      <c r="H75" s="105"/>
      <c r="I75" s="133">
        <v>42278</v>
      </c>
      <c r="J75" s="1569"/>
      <c r="K75" s="633">
        <v>42278</v>
      </c>
      <c r="L75" s="1214">
        <v>42309</v>
      </c>
      <c r="M75" s="1569"/>
      <c r="N75" s="1583"/>
      <c r="O75" s="1573"/>
      <c r="P75" s="1213">
        <v>116515620</v>
      </c>
      <c r="Q75" s="525"/>
      <c r="R75" s="642"/>
      <c r="S75" s="1578"/>
    </row>
    <row r="76" spans="2:20" ht="30.75" customHeight="1">
      <c r="B76" s="128" t="s">
        <v>375</v>
      </c>
      <c r="C76" s="131">
        <v>73991240</v>
      </c>
      <c r="D76" s="131">
        <v>73991240</v>
      </c>
      <c r="E76" s="109" t="s">
        <v>162</v>
      </c>
      <c r="F76" s="106" t="s">
        <v>37</v>
      </c>
      <c r="G76" s="130" t="s">
        <v>2312</v>
      </c>
      <c r="H76" s="105">
        <f t="shared" si="2"/>
        <v>73991240</v>
      </c>
      <c r="I76" s="119">
        <v>42036</v>
      </c>
      <c r="J76" s="119" t="s">
        <v>37</v>
      </c>
      <c r="K76" s="633">
        <v>42064</v>
      </c>
      <c r="L76" s="119">
        <v>42095</v>
      </c>
      <c r="M76" s="119" t="s">
        <v>37</v>
      </c>
      <c r="N76" s="105" t="s">
        <v>258</v>
      </c>
      <c r="O76" s="119">
        <v>42339</v>
      </c>
      <c r="P76" s="105">
        <v>73991240</v>
      </c>
      <c r="Q76" s="525"/>
      <c r="R76" s="642"/>
      <c r="S76" s="643" t="s">
        <v>2293</v>
      </c>
      <c r="T76" s="17" t="s">
        <v>2322</v>
      </c>
    </row>
    <row r="77" spans="2:20" ht="30.75" customHeight="1">
      <c r="B77" s="128" t="s">
        <v>376</v>
      </c>
      <c r="C77" s="131">
        <v>45418506</v>
      </c>
      <c r="D77" s="131">
        <v>45418506</v>
      </c>
      <c r="E77" s="109" t="s">
        <v>162</v>
      </c>
      <c r="F77" s="106" t="s">
        <v>37</v>
      </c>
      <c r="G77" s="130" t="s">
        <v>2313</v>
      </c>
      <c r="H77" s="105">
        <f t="shared" si="2"/>
        <v>45418506</v>
      </c>
      <c r="I77" s="119">
        <v>42036</v>
      </c>
      <c r="J77" s="119" t="s">
        <v>37</v>
      </c>
      <c r="K77" s="633">
        <v>42036</v>
      </c>
      <c r="L77" s="119">
        <v>42095</v>
      </c>
      <c r="M77" s="119" t="s">
        <v>37</v>
      </c>
      <c r="N77" s="105" t="s">
        <v>258</v>
      </c>
      <c r="O77" s="119">
        <v>42339</v>
      </c>
      <c r="P77" s="105">
        <v>45418506</v>
      </c>
      <c r="Q77" s="525"/>
      <c r="R77" s="642"/>
      <c r="S77" s="643" t="s">
        <v>2293</v>
      </c>
      <c r="T77" s="17" t="s">
        <v>2322</v>
      </c>
    </row>
    <row r="78" spans="2:20" ht="30.75" customHeight="1">
      <c r="B78" s="128" t="s">
        <v>377</v>
      </c>
      <c r="C78" s="1213">
        <v>31354800</v>
      </c>
      <c r="D78" s="1213">
        <v>31354800</v>
      </c>
      <c r="E78" s="109" t="s">
        <v>162</v>
      </c>
      <c r="F78" s="106" t="s">
        <v>37</v>
      </c>
      <c r="G78" s="130" t="s">
        <v>2314</v>
      </c>
      <c r="H78" s="105">
        <f t="shared" si="2"/>
        <v>31354800</v>
      </c>
      <c r="I78" s="119">
        <v>42036</v>
      </c>
      <c r="J78" s="119" t="s">
        <v>37</v>
      </c>
      <c r="K78" s="119">
        <v>42095</v>
      </c>
      <c r="L78" s="119">
        <v>42339</v>
      </c>
      <c r="M78" s="119" t="s">
        <v>37</v>
      </c>
      <c r="N78" s="105" t="s">
        <v>258</v>
      </c>
      <c r="O78" s="119">
        <v>42339</v>
      </c>
      <c r="P78" s="1213">
        <v>31354800</v>
      </c>
      <c r="Q78" s="525" t="s">
        <v>371</v>
      </c>
      <c r="R78" s="642"/>
      <c r="S78" s="643" t="s">
        <v>2293</v>
      </c>
      <c r="T78" s="17" t="s">
        <v>2322</v>
      </c>
    </row>
    <row r="79" spans="2:20" ht="30.75" customHeight="1">
      <c r="B79" s="135" t="s">
        <v>379</v>
      </c>
      <c r="C79" s="131">
        <v>67227679</v>
      </c>
      <c r="D79" s="131">
        <v>67227679</v>
      </c>
      <c r="E79" s="109" t="s">
        <v>162</v>
      </c>
      <c r="F79" s="106" t="s">
        <v>37</v>
      </c>
      <c r="G79" s="136" t="s">
        <v>379</v>
      </c>
      <c r="H79" s="105">
        <f t="shared" si="2"/>
        <v>67227679</v>
      </c>
      <c r="I79" s="119">
        <v>42217</v>
      </c>
      <c r="J79" s="119" t="s">
        <v>37</v>
      </c>
      <c r="K79" s="119">
        <v>42278</v>
      </c>
      <c r="L79" s="1214">
        <v>42309</v>
      </c>
      <c r="M79" s="119" t="s">
        <v>37</v>
      </c>
      <c r="N79" s="105" t="s">
        <v>258</v>
      </c>
      <c r="O79" s="119">
        <v>42339</v>
      </c>
      <c r="P79" s="131">
        <v>67227679</v>
      </c>
      <c r="Q79" s="525" t="s">
        <v>378</v>
      </c>
      <c r="R79" s="642"/>
      <c r="S79" s="1207" t="s">
        <v>2315</v>
      </c>
      <c r="T79" s="17" t="s">
        <v>2326</v>
      </c>
    </row>
    <row r="80" spans="2:20" ht="30.75" customHeight="1">
      <c r="B80" s="137" t="s">
        <v>380</v>
      </c>
      <c r="C80" s="132">
        <v>12755044</v>
      </c>
      <c r="D80" s="132">
        <v>12755044</v>
      </c>
      <c r="E80" s="109" t="s">
        <v>162</v>
      </c>
      <c r="F80" s="106" t="s">
        <v>37</v>
      </c>
      <c r="G80" s="136" t="s">
        <v>2316</v>
      </c>
      <c r="H80" s="105">
        <f t="shared" si="2"/>
        <v>12755044</v>
      </c>
      <c r="I80" s="119">
        <v>42217</v>
      </c>
      <c r="J80" s="119" t="s">
        <v>37</v>
      </c>
      <c r="K80" s="119">
        <v>42248</v>
      </c>
      <c r="L80" s="119">
        <v>42339</v>
      </c>
      <c r="M80" s="119" t="s">
        <v>37</v>
      </c>
      <c r="N80" s="105" t="s">
        <v>258</v>
      </c>
      <c r="O80" s="119">
        <v>42339</v>
      </c>
      <c r="P80" s="105">
        <v>12755044</v>
      </c>
      <c r="Q80" s="525" t="s">
        <v>371</v>
      </c>
      <c r="R80" s="642"/>
      <c r="S80" s="643" t="s">
        <v>2293</v>
      </c>
      <c r="T80" s="17" t="s">
        <v>2322</v>
      </c>
    </row>
    <row r="81" spans="2:20" ht="30.75" customHeight="1">
      <c r="B81" s="137" t="s">
        <v>381</v>
      </c>
      <c r="C81" s="132">
        <v>63600990</v>
      </c>
      <c r="D81" s="132">
        <v>63347600</v>
      </c>
      <c r="E81" s="109" t="s">
        <v>162</v>
      </c>
      <c r="F81" s="106" t="s">
        <v>37</v>
      </c>
      <c r="G81" s="137" t="s">
        <v>2317</v>
      </c>
      <c r="H81" s="105">
        <f t="shared" si="2"/>
        <v>63600990</v>
      </c>
      <c r="I81" s="119">
        <v>42217</v>
      </c>
      <c r="J81" s="119" t="s">
        <v>37</v>
      </c>
      <c r="K81" s="119">
        <v>42248</v>
      </c>
      <c r="L81" s="119">
        <v>42339</v>
      </c>
      <c r="M81" s="119" t="s">
        <v>37</v>
      </c>
      <c r="N81" s="105" t="s">
        <v>258</v>
      </c>
      <c r="O81" s="119">
        <v>42339</v>
      </c>
      <c r="P81" s="132">
        <v>63600990</v>
      </c>
      <c r="Q81" s="525" t="s">
        <v>371</v>
      </c>
      <c r="R81" s="642"/>
      <c r="S81" s="643" t="s">
        <v>2293</v>
      </c>
      <c r="T81" s="17" t="s">
        <v>2322</v>
      </c>
    </row>
    <row r="82" spans="2:20" ht="30.75" customHeight="1">
      <c r="B82" s="137" t="s">
        <v>382</v>
      </c>
      <c r="C82" s="132">
        <v>60514694</v>
      </c>
      <c r="D82" s="132">
        <v>60514694</v>
      </c>
      <c r="E82" s="109" t="s">
        <v>162</v>
      </c>
      <c r="F82" s="106" t="s">
        <v>37</v>
      </c>
      <c r="G82" s="137" t="s">
        <v>2318</v>
      </c>
      <c r="H82" s="105">
        <f t="shared" si="2"/>
        <v>60514694</v>
      </c>
      <c r="I82" s="119">
        <v>42217</v>
      </c>
      <c r="J82" s="119" t="s">
        <v>37</v>
      </c>
      <c r="K82" s="119">
        <v>42248</v>
      </c>
      <c r="L82" s="119">
        <v>42339</v>
      </c>
      <c r="M82" s="119" t="s">
        <v>37</v>
      </c>
      <c r="N82" s="105" t="s">
        <v>258</v>
      </c>
      <c r="O82" s="119">
        <v>42339</v>
      </c>
      <c r="P82" s="105">
        <v>68865144</v>
      </c>
      <c r="Q82" s="525"/>
      <c r="R82" s="642"/>
      <c r="S82" s="643" t="s">
        <v>2293</v>
      </c>
      <c r="T82" s="17" t="s">
        <v>2322</v>
      </c>
    </row>
    <row r="83" spans="2:20" ht="30.75" customHeight="1">
      <c r="B83" s="137" t="s">
        <v>2319</v>
      </c>
      <c r="C83" s="132">
        <v>0</v>
      </c>
      <c r="D83" s="132">
        <v>80040000</v>
      </c>
      <c r="E83" s="109" t="s">
        <v>162</v>
      </c>
      <c r="F83" s="106" t="s">
        <v>37</v>
      </c>
      <c r="G83" s="137" t="s">
        <v>2319</v>
      </c>
      <c r="H83" s="105">
        <f t="shared" si="2"/>
        <v>0</v>
      </c>
      <c r="I83" s="119">
        <v>42278</v>
      </c>
      <c r="J83" s="119" t="s">
        <v>37</v>
      </c>
      <c r="K83" s="119">
        <v>42278</v>
      </c>
      <c r="L83" s="119">
        <v>42339</v>
      </c>
      <c r="M83" s="119" t="s">
        <v>37</v>
      </c>
      <c r="N83" s="105" t="s">
        <v>258</v>
      </c>
      <c r="O83" s="119">
        <v>42339</v>
      </c>
      <c r="P83" s="105">
        <v>80040000</v>
      </c>
      <c r="Q83" s="525"/>
      <c r="R83" s="642"/>
      <c r="S83" s="643" t="s">
        <v>2293</v>
      </c>
      <c r="T83" s="17" t="s">
        <v>2322</v>
      </c>
    </row>
    <row r="84" spans="2:20" ht="30.75" customHeight="1">
      <c r="B84" s="1215" t="s">
        <v>2320</v>
      </c>
      <c r="C84" s="1211"/>
      <c r="D84" s="1211">
        <v>6613759</v>
      </c>
      <c r="E84" s="1216"/>
      <c r="F84" s="1217"/>
      <c r="G84" s="1215"/>
      <c r="H84" s="1218"/>
      <c r="I84" s="1219"/>
      <c r="J84" s="1219"/>
      <c r="K84" s="1219"/>
      <c r="L84" s="1219"/>
      <c r="M84" s="1219"/>
      <c r="N84" s="1218"/>
      <c r="O84" s="1219"/>
      <c r="P84" s="1218"/>
      <c r="Q84" s="768"/>
      <c r="R84" s="768"/>
      <c r="S84" s="768"/>
      <c r="T84" s="1222">
        <f>50/52</f>
        <v>0.96153846153846156</v>
      </c>
    </row>
    <row r="85" spans="2:20" ht="30.75" customHeight="1">
      <c r="K85" s="101">
        <v>14</v>
      </c>
      <c r="L85" s="17">
        <v>4</v>
      </c>
      <c r="M85" s="635" t="s">
        <v>1304</v>
      </c>
      <c r="N85" s="635"/>
      <c r="O85" s="635"/>
      <c r="P85" s="636">
        <f>L85/K85</f>
        <v>0.2857142857142857</v>
      </c>
      <c r="Q85" s="637">
        <f>P85+P44</f>
        <v>1.2857142857142856</v>
      </c>
      <c r="R85" s="586" t="s">
        <v>1309</v>
      </c>
    </row>
    <row r="86" spans="2:20" ht="30.75" customHeight="1">
      <c r="M86" s="635" t="s">
        <v>1305</v>
      </c>
      <c r="N86" s="635"/>
      <c r="O86" s="635"/>
      <c r="P86" s="636">
        <f>Q85/2</f>
        <v>0.64285714285714279</v>
      </c>
    </row>
    <row r="87" spans="2:20" ht="30.75" customHeight="1"/>
    <row r="88" spans="2:20" ht="30.75" customHeight="1"/>
    <row r="89" spans="2:20" ht="24" customHeight="1"/>
    <row r="90" spans="2:20" ht="24" customHeight="1"/>
    <row r="91" spans="2:20" ht="24" customHeight="1"/>
    <row r="92" spans="2:20" ht="24" customHeight="1"/>
    <row r="93" spans="2:20" ht="24" customHeight="1"/>
    <row r="94" spans="2:20" ht="24" customHeight="1"/>
    <row r="95" spans="2:20" ht="30.75" customHeight="1"/>
    <row r="96" spans="2:20" ht="24" customHeight="1"/>
    <row r="97" ht="24" customHeight="1"/>
    <row r="98" ht="24" customHeight="1"/>
    <row r="99" ht="58.5" customHeight="1"/>
    <row r="100" ht="23.25" customHeight="1"/>
    <row r="101" ht="23.25" customHeight="1"/>
    <row r="102" ht="54" customHeight="1"/>
    <row r="103" ht="51" customHeight="1"/>
    <row r="107" ht="60" customHeight="1"/>
  </sheetData>
  <mergeCells count="47">
    <mergeCell ref="O74:O75"/>
    <mergeCell ref="S74:S75"/>
    <mergeCell ref="E74:E75"/>
    <mergeCell ref="G74:G75"/>
    <mergeCell ref="J74:J75"/>
    <mergeCell ref="M74:M75"/>
    <mergeCell ref="N74:N75"/>
    <mergeCell ref="S59:S60"/>
    <mergeCell ref="E61:E62"/>
    <mergeCell ref="F61:F62"/>
    <mergeCell ref="G61:G62"/>
    <mergeCell ref="J61:J62"/>
    <mergeCell ref="M61:M62"/>
    <mergeCell ref="N61:N62"/>
    <mergeCell ref="O61:O62"/>
    <mergeCell ref="S61:S62"/>
    <mergeCell ref="J4:J6"/>
    <mergeCell ref="K4:K6"/>
    <mergeCell ref="G4:G6"/>
    <mergeCell ref="H57:P57"/>
    <mergeCell ref="E59:E60"/>
    <mergeCell ref="F59:F60"/>
    <mergeCell ref="G59:G60"/>
    <mergeCell ref="J59:J60"/>
    <mergeCell ref="M59:M60"/>
    <mergeCell ref="N59:N60"/>
    <mergeCell ref="O59:O60"/>
    <mergeCell ref="O5:P5"/>
    <mergeCell ref="H11:P11"/>
    <mergeCell ref="I39:N39"/>
    <mergeCell ref="H47:P47"/>
    <mergeCell ref="B2:C2"/>
    <mergeCell ref="R5:R6"/>
    <mergeCell ref="B4:B6"/>
    <mergeCell ref="C4:C6"/>
    <mergeCell ref="D4:D6"/>
    <mergeCell ref="E2:S2"/>
    <mergeCell ref="M3:S3"/>
    <mergeCell ref="E4:E6"/>
    <mergeCell ref="F4:F5"/>
    <mergeCell ref="L4:L6"/>
    <mergeCell ref="M4:P4"/>
    <mergeCell ref="R4:S4"/>
    <mergeCell ref="M5:N5"/>
    <mergeCell ref="S5:S6"/>
    <mergeCell ref="H4:H6"/>
    <mergeCell ref="I4:I6"/>
  </mergeCells>
  <dataValidations disablePrompts="1" count="1">
    <dataValidation type="whole" allowBlank="1" showInputMessage="1" showErrorMessage="1" errorTitle="Valor Asignado" error="Sólo se pueden introducir números en esta celda" promptTitle="Valor Asignado" prompt=" " sqref="P14 C5:E5 D14 H9 D19 H19 D29 P66 C66:D66">
      <formula1>0</formula1>
      <formula2>83000000000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V653"/>
  <sheetViews>
    <sheetView zoomScale="85" zoomScaleNormal="85" workbookViewId="0">
      <pane xSplit="3" ySplit="1" topLeftCell="L491" activePane="bottomRight" state="frozen"/>
      <selection activeCell="Q9" sqref="Q9"/>
      <selection pane="topRight" activeCell="Q9" sqref="Q9"/>
      <selection pane="bottomLeft" activeCell="Q9" sqref="Q9"/>
      <selection pane="bottomRight" activeCell="C643" sqref="C643"/>
    </sheetView>
  </sheetViews>
  <sheetFormatPr baseColWidth="10" defaultRowHeight="11.25"/>
  <cols>
    <col min="1" max="1" width="11.42578125" style="17"/>
    <col min="2" max="2" width="32.85546875" style="101" customWidth="1"/>
    <col min="3" max="3" width="19.85546875" style="101" customWidth="1"/>
    <col min="4" max="4" width="22" style="101" customWidth="1"/>
    <col min="5" max="5" width="20.85546875" style="632" customWidth="1"/>
    <col min="6" max="6" width="20.7109375" style="1185" customWidth="1"/>
    <col min="7" max="7" width="15.85546875" style="1186" customWidth="1"/>
    <col min="8" max="8" width="23" style="632" customWidth="1"/>
    <col min="9" max="9" width="20" style="1092" customWidth="1"/>
    <col min="10" max="10" width="17" style="1092" customWidth="1"/>
    <col min="11" max="11" width="16.28515625" style="1092" customWidth="1"/>
    <col min="12" max="12" width="15.5703125" style="1092" customWidth="1"/>
    <col min="13" max="13" width="17.85546875" style="1187" customWidth="1"/>
    <col min="14" max="14" width="22.5703125" style="1102" customWidth="1"/>
    <col min="15" max="15" width="11.42578125" style="1103"/>
    <col min="16" max="16" width="17.5703125" style="17" customWidth="1"/>
    <col min="17" max="17" width="11.42578125" style="17"/>
    <col min="18" max="18" width="16.42578125" style="17" customWidth="1"/>
    <col min="19" max="19" width="11.42578125" style="17"/>
    <col min="20" max="20" width="14.42578125" style="17" customWidth="1"/>
    <col min="21" max="21" width="11.42578125" style="17"/>
    <col min="22" max="22" width="14.42578125" style="17" customWidth="1"/>
    <col min="23" max="252" width="11.42578125" style="17"/>
    <col min="253" max="253" width="44.5703125" style="17" customWidth="1"/>
    <col min="254" max="254" width="28.42578125" style="17" customWidth="1"/>
    <col min="255" max="255" width="27" style="17" customWidth="1"/>
    <col min="256" max="256" width="20.42578125" style="17" customWidth="1"/>
    <col min="257" max="258" width="19" style="17" customWidth="1"/>
    <col min="259" max="259" width="12.42578125" style="17" customWidth="1"/>
    <col min="260" max="261" width="9.7109375" style="17" customWidth="1"/>
    <col min="262" max="262" width="10.140625" style="17" customWidth="1"/>
    <col min="263" max="263" width="24.140625" style="17" customWidth="1"/>
    <col min="264" max="264" width="35.140625" style="17" customWidth="1"/>
    <col min="265" max="508" width="11.42578125" style="17"/>
    <col min="509" max="509" width="44.5703125" style="17" customWidth="1"/>
    <col min="510" max="510" width="28.42578125" style="17" customWidth="1"/>
    <col min="511" max="511" width="27" style="17" customWidth="1"/>
    <col min="512" max="512" width="20.42578125" style="17" customWidth="1"/>
    <col min="513" max="514" width="19" style="17" customWidth="1"/>
    <col min="515" max="515" width="12.42578125" style="17" customWidth="1"/>
    <col min="516" max="517" width="9.7109375" style="17" customWidth="1"/>
    <col min="518" max="518" width="10.140625" style="17" customWidth="1"/>
    <col min="519" max="519" width="24.140625" style="17" customWidth="1"/>
    <col min="520" max="520" width="35.140625" style="17" customWidth="1"/>
    <col min="521" max="764" width="11.42578125" style="17"/>
    <col min="765" max="765" width="44.5703125" style="17" customWidth="1"/>
    <col min="766" max="766" width="28.42578125" style="17" customWidth="1"/>
    <col min="767" max="767" width="27" style="17" customWidth="1"/>
    <col min="768" max="768" width="20.42578125" style="17" customWidth="1"/>
    <col min="769" max="770" width="19" style="17" customWidth="1"/>
    <col min="771" max="771" width="12.42578125" style="17" customWidth="1"/>
    <col min="772" max="773" width="9.7109375" style="17" customWidth="1"/>
    <col min="774" max="774" width="10.140625" style="17" customWidth="1"/>
    <col min="775" max="775" width="24.140625" style="17" customWidth="1"/>
    <col min="776" max="776" width="35.140625" style="17" customWidth="1"/>
    <col min="777" max="1020" width="11.42578125" style="17"/>
    <col min="1021" max="1021" width="44.5703125" style="17" customWidth="1"/>
    <col min="1022" max="1022" width="28.42578125" style="17" customWidth="1"/>
    <col min="1023" max="1023" width="27" style="17" customWidth="1"/>
    <col min="1024" max="1024" width="20.42578125" style="17" customWidth="1"/>
    <col min="1025" max="1026" width="19" style="17" customWidth="1"/>
    <col min="1027" max="1027" width="12.42578125" style="17" customWidth="1"/>
    <col min="1028" max="1029" width="9.7109375" style="17" customWidth="1"/>
    <col min="1030" max="1030" width="10.140625" style="17" customWidth="1"/>
    <col min="1031" max="1031" width="24.140625" style="17" customWidth="1"/>
    <col min="1032" max="1032" width="35.140625" style="17" customWidth="1"/>
    <col min="1033" max="1276" width="11.42578125" style="17"/>
    <col min="1277" max="1277" width="44.5703125" style="17" customWidth="1"/>
    <col min="1278" max="1278" width="28.42578125" style="17" customWidth="1"/>
    <col min="1279" max="1279" width="27" style="17" customWidth="1"/>
    <col min="1280" max="1280" width="20.42578125" style="17" customWidth="1"/>
    <col min="1281" max="1282" width="19" style="17" customWidth="1"/>
    <col min="1283" max="1283" width="12.42578125" style="17" customWidth="1"/>
    <col min="1284" max="1285" width="9.7109375" style="17" customWidth="1"/>
    <col min="1286" max="1286" width="10.140625" style="17" customWidth="1"/>
    <col min="1287" max="1287" width="24.140625" style="17" customWidth="1"/>
    <col min="1288" max="1288" width="35.140625" style="17" customWidth="1"/>
    <col min="1289" max="1532" width="11.42578125" style="17"/>
    <col min="1533" max="1533" width="44.5703125" style="17" customWidth="1"/>
    <col min="1534" max="1534" width="28.42578125" style="17" customWidth="1"/>
    <col min="1535" max="1535" width="27" style="17" customWidth="1"/>
    <col min="1536" max="1536" width="20.42578125" style="17" customWidth="1"/>
    <col min="1537" max="1538" width="19" style="17" customWidth="1"/>
    <col min="1539" max="1539" width="12.42578125" style="17" customWidth="1"/>
    <col min="1540" max="1541" width="9.7109375" style="17" customWidth="1"/>
    <col min="1542" max="1542" width="10.140625" style="17" customWidth="1"/>
    <col min="1543" max="1543" width="24.140625" style="17" customWidth="1"/>
    <col min="1544" max="1544" width="35.140625" style="17" customWidth="1"/>
    <col min="1545" max="1788" width="11.42578125" style="17"/>
    <col min="1789" max="1789" width="44.5703125" style="17" customWidth="1"/>
    <col min="1790" max="1790" width="28.42578125" style="17" customWidth="1"/>
    <col min="1791" max="1791" width="27" style="17" customWidth="1"/>
    <col min="1792" max="1792" width="20.42578125" style="17" customWidth="1"/>
    <col min="1793" max="1794" width="19" style="17" customWidth="1"/>
    <col min="1795" max="1795" width="12.42578125" style="17" customWidth="1"/>
    <col min="1796" max="1797" width="9.7109375" style="17" customWidth="1"/>
    <col min="1798" max="1798" width="10.140625" style="17" customWidth="1"/>
    <col min="1799" max="1799" width="24.140625" style="17" customWidth="1"/>
    <col min="1800" max="1800" width="35.140625" style="17" customWidth="1"/>
    <col min="1801" max="2044" width="11.42578125" style="17"/>
    <col min="2045" max="2045" width="44.5703125" style="17" customWidth="1"/>
    <col min="2046" max="2046" width="28.42578125" style="17" customWidth="1"/>
    <col min="2047" max="2047" width="27" style="17" customWidth="1"/>
    <col min="2048" max="2048" width="20.42578125" style="17" customWidth="1"/>
    <col min="2049" max="2050" width="19" style="17" customWidth="1"/>
    <col min="2051" max="2051" width="12.42578125" style="17" customWidth="1"/>
    <col min="2052" max="2053" width="9.7109375" style="17" customWidth="1"/>
    <col min="2054" max="2054" width="10.140625" style="17" customWidth="1"/>
    <col min="2055" max="2055" width="24.140625" style="17" customWidth="1"/>
    <col min="2056" max="2056" width="35.140625" style="17" customWidth="1"/>
    <col min="2057" max="2300" width="11.42578125" style="17"/>
    <col min="2301" max="2301" width="44.5703125" style="17" customWidth="1"/>
    <col min="2302" max="2302" width="28.42578125" style="17" customWidth="1"/>
    <col min="2303" max="2303" width="27" style="17" customWidth="1"/>
    <col min="2304" max="2304" width="20.42578125" style="17" customWidth="1"/>
    <col min="2305" max="2306" width="19" style="17" customWidth="1"/>
    <col min="2307" max="2307" width="12.42578125" style="17" customWidth="1"/>
    <col min="2308" max="2309" width="9.7109375" style="17" customWidth="1"/>
    <col min="2310" max="2310" width="10.140625" style="17" customWidth="1"/>
    <col min="2311" max="2311" width="24.140625" style="17" customWidth="1"/>
    <col min="2312" max="2312" width="35.140625" style="17" customWidth="1"/>
    <col min="2313" max="2556" width="11.42578125" style="17"/>
    <col min="2557" max="2557" width="44.5703125" style="17" customWidth="1"/>
    <col min="2558" max="2558" width="28.42578125" style="17" customWidth="1"/>
    <col min="2559" max="2559" width="27" style="17" customWidth="1"/>
    <col min="2560" max="2560" width="20.42578125" style="17" customWidth="1"/>
    <col min="2561" max="2562" width="19" style="17" customWidth="1"/>
    <col min="2563" max="2563" width="12.42578125" style="17" customWidth="1"/>
    <col min="2564" max="2565" width="9.7109375" style="17" customWidth="1"/>
    <col min="2566" max="2566" width="10.140625" style="17" customWidth="1"/>
    <col min="2567" max="2567" width="24.140625" style="17" customWidth="1"/>
    <col min="2568" max="2568" width="35.140625" style="17" customWidth="1"/>
    <col min="2569" max="2812" width="11.42578125" style="17"/>
    <col min="2813" max="2813" width="44.5703125" style="17" customWidth="1"/>
    <col min="2814" max="2814" width="28.42578125" style="17" customWidth="1"/>
    <col min="2815" max="2815" width="27" style="17" customWidth="1"/>
    <col min="2816" max="2816" width="20.42578125" style="17" customWidth="1"/>
    <col min="2817" max="2818" width="19" style="17" customWidth="1"/>
    <col min="2819" max="2819" width="12.42578125" style="17" customWidth="1"/>
    <col min="2820" max="2821" width="9.7109375" style="17" customWidth="1"/>
    <col min="2822" max="2822" width="10.140625" style="17" customWidth="1"/>
    <col min="2823" max="2823" width="24.140625" style="17" customWidth="1"/>
    <col min="2824" max="2824" width="35.140625" style="17" customWidth="1"/>
    <col min="2825" max="3068" width="11.42578125" style="17"/>
    <col min="3069" max="3069" width="44.5703125" style="17" customWidth="1"/>
    <col min="3070" max="3070" width="28.42578125" style="17" customWidth="1"/>
    <col min="3071" max="3071" width="27" style="17" customWidth="1"/>
    <col min="3072" max="3072" width="20.42578125" style="17" customWidth="1"/>
    <col min="3073" max="3074" width="19" style="17" customWidth="1"/>
    <col min="3075" max="3075" width="12.42578125" style="17" customWidth="1"/>
    <col min="3076" max="3077" width="9.7109375" style="17" customWidth="1"/>
    <col min="3078" max="3078" width="10.140625" style="17" customWidth="1"/>
    <col min="3079" max="3079" width="24.140625" style="17" customWidth="1"/>
    <col min="3080" max="3080" width="35.140625" style="17" customWidth="1"/>
    <col min="3081" max="3324" width="11.42578125" style="17"/>
    <col min="3325" max="3325" width="44.5703125" style="17" customWidth="1"/>
    <col min="3326" max="3326" width="28.42578125" style="17" customWidth="1"/>
    <col min="3327" max="3327" width="27" style="17" customWidth="1"/>
    <col min="3328" max="3328" width="20.42578125" style="17" customWidth="1"/>
    <col min="3329" max="3330" width="19" style="17" customWidth="1"/>
    <col min="3331" max="3331" width="12.42578125" style="17" customWidth="1"/>
    <col min="3332" max="3333" width="9.7109375" style="17" customWidth="1"/>
    <col min="3334" max="3334" width="10.140625" style="17" customWidth="1"/>
    <col min="3335" max="3335" width="24.140625" style="17" customWidth="1"/>
    <col min="3336" max="3336" width="35.140625" style="17" customWidth="1"/>
    <col min="3337" max="3580" width="11.42578125" style="17"/>
    <col min="3581" max="3581" width="44.5703125" style="17" customWidth="1"/>
    <col min="3582" max="3582" width="28.42578125" style="17" customWidth="1"/>
    <col min="3583" max="3583" width="27" style="17" customWidth="1"/>
    <col min="3584" max="3584" width="20.42578125" style="17" customWidth="1"/>
    <col min="3585" max="3586" width="19" style="17" customWidth="1"/>
    <col min="3587" max="3587" width="12.42578125" style="17" customWidth="1"/>
    <col min="3588" max="3589" width="9.7109375" style="17" customWidth="1"/>
    <col min="3590" max="3590" width="10.140625" style="17" customWidth="1"/>
    <col min="3591" max="3591" width="24.140625" style="17" customWidth="1"/>
    <col min="3592" max="3592" width="35.140625" style="17" customWidth="1"/>
    <col min="3593" max="3836" width="11.42578125" style="17"/>
    <col min="3837" max="3837" width="44.5703125" style="17" customWidth="1"/>
    <col min="3838" max="3838" width="28.42578125" style="17" customWidth="1"/>
    <col min="3839" max="3839" width="27" style="17" customWidth="1"/>
    <col min="3840" max="3840" width="20.42578125" style="17" customWidth="1"/>
    <col min="3841" max="3842" width="19" style="17" customWidth="1"/>
    <col min="3843" max="3843" width="12.42578125" style="17" customWidth="1"/>
    <col min="3844" max="3845" width="9.7109375" style="17" customWidth="1"/>
    <col min="3846" max="3846" width="10.140625" style="17" customWidth="1"/>
    <col min="3847" max="3847" width="24.140625" style="17" customWidth="1"/>
    <col min="3848" max="3848" width="35.140625" style="17" customWidth="1"/>
    <col min="3849" max="4092" width="11.42578125" style="17"/>
    <col min="4093" max="4093" width="44.5703125" style="17" customWidth="1"/>
    <col min="4094" max="4094" width="28.42578125" style="17" customWidth="1"/>
    <col min="4095" max="4095" width="27" style="17" customWidth="1"/>
    <col min="4096" max="4096" width="20.42578125" style="17" customWidth="1"/>
    <col min="4097" max="4098" width="19" style="17" customWidth="1"/>
    <col min="4099" max="4099" width="12.42578125" style="17" customWidth="1"/>
    <col min="4100" max="4101" width="9.7109375" style="17" customWidth="1"/>
    <col min="4102" max="4102" width="10.140625" style="17" customWidth="1"/>
    <col min="4103" max="4103" width="24.140625" style="17" customWidth="1"/>
    <col min="4104" max="4104" width="35.140625" style="17" customWidth="1"/>
    <col min="4105" max="4348" width="11.42578125" style="17"/>
    <col min="4349" max="4349" width="44.5703125" style="17" customWidth="1"/>
    <col min="4350" max="4350" width="28.42578125" style="17" customWidth="1"/>
    <col min="4351" max="4351" width="27" style="17" customWidth="1"/>
    <col min="4352" max="4352" width="20.42578125" style="17" customWidth="1"/>
    <col min="4353" max="4354" width="19" style="17" customWidth="1"/>
    <col min="4355" max="4355" width="12.42578125" style="17" customWidth="1"/>
    <col min="4356" max="4357" width="9.7109375" style="17" customWidth="1"/>
    <col min="4358" max="4358" width="10.140625" style="17" customWidth="1"/>
    <col min="4359" max="4359" width="24.140625" style="17" customWidth="1"/>
    <col min="4360" max="4360" width="35.140625" style="17" customWidth="1"/>
    <col min="4361" max="4604" width="11.42578125" style="17"/>
    <col min="4605" max="4605" width="44.5703125" style="17" customWidth="1"/>
    <col min="4606" max="4606" width="28.42578125" style="17" customWidth="1"/>
    <col min="4607" max="4607" width="27" style="17" customWidth="1"/>
    <col min="4608" max="4608" width="20.42578125" style="17" customWidth="1"/>
    <col min="4609" max="4610" width="19" style="17" customWidth="1"/>
    <col min="4611" max="4611" width="12.42578125" style="17" customWidth="1"/>
    <col min="4612" max="4613" width="9.7109375" style="17" customWidth="1"/>
    <col min="4614" max="4614" width="10.140625" style="17" customWidth="1"/>
    <col min="4615" max="4615" width="24.140625" style="17" customWidth="1"/>
    <col min="4616" max="4616" width="35.140625" style="17" customWidth="1"/>
    <col min="4617" max="4860" width="11.42578125" style="17"/>
    <col min="4861" max="4861" width="44.5703125" style="17" customWidth="1"/>
    <col min="4862" max="4862" width="28.42578125" style="17" customWidth="1"/>
    <col min="4863" max="4863" width="27" style="17" customWidth="1"/>
    <col min="4864" max="4864" width="20.42578125" style="17" customWidth="1"/>
    <col min="4865" max="4866" width="19" style="17" customWidth="1"/>
    <col min="4867" max="4867" width="12.42578125" style="17" customWidth="1"/>
    <col min="4868" max="4869" width="9.7109375" style="17" customWidth="1"/>
    <col min="4870" max="4870" width="10.140625" style="17" customWidth="1"/>
    <col min="4871" max="4871" width="24.140625" style="17" customWidth="1"/>
    <col min="4872" max="4872" width="35.140625" style="17" customWidth="1"/>
    <col min="4873" max="5116" width="11.42578125" style="17"/>
    <col min="5117" max="5117" width="44.5703125" style="17" customWidth="1"/>
    <col min="5118" max="5118" width="28.42578125" style="17" customWidth="1"/>
    <col min="5119" max="5119" width="27" style="17" customWidth="1"/>
    <col min="5120" max="5120" width="20.42578125" style="17" customWidth="1"/>
    <col min="5121" max="5122" width="19" style="17" customWidth="1"/>
    <col min="5123" max="5123" width="12.42578125" style="17" customWidth="1"/>
    <col min="5124" max="5125" width="9.7109375" style="17" customWidth="1"/>
    <col min="5126" max="5126" width="10.140625" style="17" customWidth="1"/>
    <col min="5127" max="5127" width="24.140625" style="17" customWidth="1"/>
    <col min="5128" max="5128" width="35.140625" style="17" customWidth="1"/>
    <col min="5129" max="5372" width="11.42578125" style="17"/>
    <col min="5373" max="5373" width="44.5703125" style="17" customWidth="1"/>
    <col min="5374" max="5374" width="28.42578125" style="17" customWidth="1"/>
    <col min="5375" max="5375" width="27" style="17" customWidth="1"/>
    <col min="5376" max="5376" width="20.42578125" style="17" customWidth="1"/>
    <col min="5377" max="5378" width="19" style="17" customWidth="1"/>
    <col min="5379" max="5379" width="12.42578125" style="17" customWidth="1"/>
    <col min="5380" max="5381" width="9.7109375" style="17" customWidth="1"/>
    <col min="5382" max="5382" width="10.140625" style="17" customWidth="1"/>
    <col min="5383" max="5383" width="24.140625" style="17" customWidth="1"/>
    <col min="5384" max="5384" width="35.140625" style="17" customWidth="1"/>
    <col min="5385" max="5628" width="11.42578125" style="17"/>
    <col min="5629" max="5629" width="44.5703125" style="17" customWidth="1"/>
    <col min="5630" max="5630" width="28.42578125" style="17" customWidth="1"/>
    <col min="5631" max="5631" width="27" style="17" customWidth="1"/>
    <col min="5632" max="5632" width="20.42578125" style="17" customWidth="1"/>
    <col min="5633" max="5634" width="19" style="17" customWidth="1"/>
    <col min="5635" max="5635" width="12.42578125" style="17" customWidth="1"/>
    <col min="5636" max="5637" width="9.7109375" style="17" customWidth="1"/>
    <col min="5638" max="5638" width="10.140625" style="17" customWidth="1"/>
    <col min="5639" max="5639" width="24.140625" style="17" customWidth="1"/>
    <col min="5640" max="5640" width="35.140625" style="17" customWidth="1"/>
    <col min="5641" max="5884" width="11.42578125" style="17"/>
    <col min="5885" max="5885" width="44.5703125" style="17" customWidth="1"/>
    <col min="5886" max="5886" width="28.42578125" style="17" customWidth="1"/>
    <col min="5887" max="5887" width="27" style="17" customWidth="1"/>
    <col min="5888" max="5888" width="20.42578125" style="17" customWidth="1"/>
    <col min="5889" max="5890" width="19" style="17" customWidth="1"/>
    <col min="5891" max="5891" width="12.42578125" style="17" customWidth="1"/>
    <col min="5892" max="5893" width="9.7109375" style="17" customWidth="1"/>
    <col min="5894" max="5894" width="10.140625" style="17" customWidth="1"/>
    <col min="5895" max="5895" width="24.140625" style="17" customWidth="1"/>
    <col min="5896" max="5896" width="35.140625" style="17" customWidth="1"/>
    <col min="5897" max="6140" width="11.42578125" style="17"/>
    <col min="6141" max="6141" width="44.5703125" style="17" customWidth="1"/>
    <col min="6142" max="6142" width="28.42578125" style="17" customWidth="1"/>
    <col min="6143" max="6143" width="27" style="17" customWidth="1"/>
    <col min="6144" max="6144" width="20.42578125" style="17" customWidth="1"/>
    <col min="6145" max="6146" width="19" style="17" customWidth="1"/>
    <col min="6147" max="6147" width="12.42578125" style="17" customWidth="1"/>
    <col min="6148" max="6149" width="9.7109375" style="17" customWidth="1"/>
    <col min="6150" max="6150" width="10.140625" style="17" customWidth="1"/>
    <col min="6151" max="6151" width="24.140625" style="17" customWidth="1"/>
    <col min="6152" max="6152" width="35.140625" style="17" customWidth="1"/>
    <col min="6153" max="6396" width="11.42578125" style="17"/>
    <col min="6397" max="6397" width="44.5703125" style="17" customWidth="1"/>
    <col min="6398" max="6398" width="28.42578125" style="17" customWidth="1"/>
    <col min="6399" max="6399" width="27" style="17" customWidth="1"/>
    <col min="6400" max="6400" width="20.42578125" style="17" customWidth="1"/>
    <col min="6401" max="6402" width="19" style="17" customWidth="1"/>
    <col min="6403" max="6403" width="12.42578125" style="17" customWidth="1"/>
    <col min="6404" max="6405" width="9.7109375" style="17" customWidth="1"/>
    <col min="6406" max="6406" width="10.140625" style="17" customWidth="1"/>
    <col min="6407" max="6407" width="24.140625" style="17" customWidth="1"/>
    <col min="6408" max="6408" width="35.140625" style="17" customWidth="1"/>
    <col min="6409" max="6652" width="11.42578125" style="17"/>
    <col min="6653" max="6653" width="44.5703125" style="17" customWidth="1"/>
    <col min="6654" max="6654" width="28.42578125" style="17" customWidth="1"/>
    <col min="6655" max="6655" width="27" style="17" customWidth="1"/>
    <col min="6656" max="6656" width="20.42578125" style="17" customWidth="1"/>
    <col min="6657" max="6658" width="19" style="17" customWidth="1"/>
    <col min="6659" max="6659" width="12.42578125" style="17" customWidth="1"/>
    <col min="6660" max="6661" width="9.7109375" style="17" customWidth="1"/>
    <col min="6662" max="6662" width="10.140625" style="17" customWidth="1"/>
    <col min="6663" max="6663" width="24.140625" style="17" customWidth="1"/>
    <col min="6664" max="6664" width="35.140625" style="17" customWidth="1"/>
    <col min="6665" max="6908" width="11.42578125" style="17"/>
    <col min="6909" max="6909" width="44.5703125" style="17" customWidth="1"/>
    <col min="6910" max="6910" width="28.42578125" style="17" customWidth="1"/>
    <col min="6911" max="6911" width="27" style="17" customWidth="1"/>
    <col min="6912" max="6912" width="20.42578125" style="17" customWidth="1"/>
    <col min="6913" max="6914" width="19" style="17" customWidth="1"/>
    <col min="6915" max="6915" width="12.42578125" style="17" customWidth="1"/>
    <col min="6916" max="6917" width="9.7109375" style="17" customWidth="1"/>
    <col min="6918" max="6918" width="10.140625" style="17" customWidth="1"/>
    <col min="6919" max="6919" width="24.140625" style="17" customWidth="1"/>
    <col min="6920" max="6920" width="35.140625" style="17" customWidth="1"/>
    <col min="6921" max="7164" width="11.42578125" style="17"/>
    <col min="7165" max="7165" width="44.5703125" style="17" customWidth="1"/>
    <col min="7166" max="7166" width="28.42578125" style="17" customWidth="1"/>
    <col min="7167" max="7167" width="27" style="17" customWidth="1"/>
    <col min="7168" max="7168" width="20.42578125" style="17" customWidth="1"/>
    <col min="7169" max="7170" width="19" style="17" customWidth="1"/>
    <col min="7171" max="7171" width="12.42578125" style="17" customWidth="1"/>
    <col min="7172" max="7173" width="9.7109375" style="17" customWidth="1"/>
    <col min="7174" max="7174" width="10.140625" style="17" customWidth="1"/>
    <col min="7175" max="7175" width="24.140625" style="17" customWidth="1"/>
    <col min="7176" max="7176" width="35.140625" style="17" customWidth="1"/>
    <col min="7177" max="7420" width="11.42578125" style="17"/>
    <col min="7421" max="7421" width="44.5703125" style="17" customWidth="1"/>
    <col min="7422" max="7422" width="28.42578125" style="17" customWidth="1"/>
    <col min="7423" max="7423" width="27" style="17" customWidth="1"/>
    <col min="7424" max="7424" width="20.42578125" style="17" customWidth="1"/>
    <col min="7425" max="7426" width="19" style="17" customWidth="1"/>
    <col min="7427" max="7427" width="12.42578125" style="17" customWidth="1"/>
    <col min="7428" max="7429" width="9.7109375" style="17" customWidth="1"/>
    <col min="7430" max="7430" width="10.140625" style="17" customWidth="1"/>
    <col min="7431" max="7431" width="24.140625" style="17" customWidth="1"/>
    <col min="7432" max="7432" width="35.140625" style="17" customWidth="1"/>
    <col min="7433" max="7676" width="11.42578125" style="17"/>
    <col min="7677" max="7677" width="44.5703125" style="17" customWidth="1"/>
    <col min="7678" max="7678" width="28.42578125" style="17" customWidth="1"/>
    <col min="7679" max="7679" width="27" style="17" customWidth="1"/>
    <col min="7680" max="7680" width="20.42578125" style="17" customWidth="1"/>
    <col min="7681" max="7682" width="19" style="17" customWidth="1"/>
    <col min="7683" max="7683" width="12.42578125" style="17" customWidth="1"/>
    <col min="7684" max="7685" width="9.7109375" style="17" customWidth="1"/>
    <col min="7686" max="7686" width="10.140625" style="17" customWidth="1"/>
    <col min="7687" max="7687" width="24.140625" style="17" customWidth="1"/>
    <col min="7688" max="7688" width="35.140625" style="17" customWidth="1"/>
    <col min="7689" max="7932" width="11.42578125" style="17"/>
    <col min="7933" max="7933" width="44.5703125" style="17" customWidth="1"/>
    <col min="7934" max="7934" width="28.42578125" style="17" customWidth="1"/>
    <col min="7935" max="7935" width="27" style="17" customWidth="1"/>
    <col min="7936" max="7936" width="20.42578125" style="17" customWidth="1"/>
    <col min="7937" max="7938" width="19" style="17" customWidth="1"/>
    <col min="7939" max="7939" width="12.42578125" style="17" customWidth="1"/>
    <col min="7940" max="7941" width="9.7109375" style="17" customWidth="1"/>
    <col min="7942" max="7942" width="10.140625" style="17" customWidth="1"/>
    <col min="7943" max="7943" width="24.140625" style="17" customWidth="1"/>
    <col min="7944" max="7944" width="35.140625" style="17" customWidth="1"/>
    <col min="7945" max="8188" width="11.42578125" style="17"/>
    <col min="8189" max="8189" width="44.5703125" style="17" customWidth="1"/>
    <col min="8190" max="8190" width="28.42578125" style="17" customWidth="1"/>
    <col min="8191" max="8191" width="27" style="17" customWidth="1"/>
    <col min="8192" max="8192" width="20.42578125" style="17" customWidth="1"/>
    <col min="8193" max="8194" width="19" style="17" customWidth="1"/>
    <col min="8195" max="8195" width="12.42578125" style="17" customWidth="1"/>
    <col min="8196" max="8197" width="9.7109375" style="17" customWidth="1"/>
    <col min="8198" max="8198" width="10.140625" style="17" customWidth="1"/>
    <col min="8199" max="8199" width="24.140625" style="17" customWidth="1"/>
    <col min="8200" max="8200" width="35.140625" style="17" customWidth="1"/>
    <col min="8201" max="8444" width="11.42578125" style="17"/>
    <col min="8445" max="8445" width="44.5703125" style="17" customWidth="1"/>
    <col min="8446" max="8446" width="28.42578125" style="17" customWidth="1"/>
    <col min="8447" max="8447" width="27" style="17" customWidth="1"/>
    <col min="8448" max="8448" width="20.42578125" style="17" customWidth="1"/>
    <col min="8449" max="8450" width="19" style="17" customWidth="1"/>
    <col min="8451" max="8451" width="12.42578125" style="17" customWidth="1"/>
    <col min="8452" max="8453" width="9.7109375" style="17" customWidth="1"/>
    <col min="8454" max="8454" width="10.140625" style="17" customWidth="1"/>
    <col min="8455" max="8455" width="24.140625" style="17" customWidth="1"/>
    <col min="8456" max="8456" width="35.140625" style="17" customWidth="1"/>
    <col min="8457" max="8700" width="11.42578125" style="17"/>
    <col min="8701" max="8701" width="44.5703125" style="17" customWidth="1"/>
    <col min="8702" max="8702" width="28.42578125" style="17" customWidth="1"/>
    <col min="8703" max="8703" width="27" style="17" customWidth="1"/>
    <col min="8704" max="8704" width="20.42578125" style="17" customWidth="1"/>
    <col min="8705" max="8706" width="19" style="17" customWidth="1"/>
    <col min="8707" max="8707" width="12.42578125" style="17" customWidth="1"/>
    <col min="8708" max="8709" width="9.7109375" style="17" customWidth="1"/>
    <col min="8710" max="8710" width="10.140625" style="17" customWidth="1"/>
    <col min="8711" max="8711" width="24.140625" style="17" customWidth="1"/>
    <col min="8712" max="8712" width="35.140625" style="17" customWidth="1"/>
    <col min="8713" max="8956" width="11.42578125" style="17"/>
    <col min="8957" max="8957" width="44.5703125" style="17" customWidth="1"/>
    <col min="8958" max="8958" width="28.42578125" style="17" customWidth="1"/>
    <col min="8959" max="8959" width="27" style="17" customWidth="1"/>
    <col min="8960" max="8960" width="20.42578125" style="17" customWidth="1"/>
    <col min="8961" max="8962" width="19" style="17" customWidth="1"/>
    <col min="8963" max="8963" width="12.42578125" style="17" customWidth="1"/>
    <col min="8964" max="8965" width="9.7109375" style="17" customWidth="1"/>
    <col min="8966" max="8966" width="10.140625" style="17" customWidth="1"/>
    <col min="8967" max="8967" width="24.140625" style="17" customWidth="1"/>
    <col min="8968" max="8968" width="35.140625" style="17" customWidth="1"/>
    <col min="8969" max="9212" width="11.42578125" style="17"/>
    <col min="9213" max="9213" width="44.5703125" style="17" customWidth="1"/>
    <col min="9214" max="9214" width="28.42578125" style="17" customWidth="1"/>
    <col min="9215" max="9215" width="27" style="17" customWidth="1"/>
    <col min="9216" max="9216" width="20.42578125" style="17" customWidth="1"/>
    <col min="9217" max="9218" width="19" style="17" customWidth="1"/>
    <col min="9219" max="9219" width="12.42578125" style="17" customWidth="1"/>
    <col min="9220" max="9221" width="9.7109375" style="17" customWidth="1"/>
    <col min="9222" max="9222" width="10.140625" style="17" customWidth="1"/>
    <col min="9223" max="9223" width="24.140625" style="17" customWidth="1"/>
    <col min="9224" max="9224" width="35.140625" style="17" customWidth="1"/>
    <col min="9225" max="9468" width="11.42578125" style="17"/>
    <col min="9469" max="9469" width="44.5703125" style="17" customWidth="1"/>
    <col min="9470" max="9470" width="28.42578125" style="17" customWidth="1"/>
    <col min="9471" max="9471" width="27" style="17" customWidth="1"/>
    <col min="9472" max="9472" width="20.42578125" style="17" customWidth="1"/>
    <col min="9473" max="9474" width="19" style="17" customWidth="1"/>
    <col min="9475" max="9475" width="12.42578125" style="17" customWidth="1"/>
    <col min="9476" max="9477" width="9.7109375" style="17" customWidth="1"/>
    <col min="9478" max="9478" width="10.140625" style="17" customWidth="1"/>
    <col min="9479" max="9479" width="24.140625" style="17" customWidth="1"/>
    <col min="9480" max="9480" width="35.140625" style="17" customWidth="1"/>
    <col min="9481" max="9724" width="11.42578125" style="17"/>
    <col min="9725" max="9725" width="44.5703125" style="17" customWidth="1"/>
    <col min="9726" max="9726" width="28.42578125" style="17" customWidth="1"/>
    <col min="9727" max="9727" width="27" style="17" customWidth="1"/>
    <col min="9728" max="9728" width="20.42578125" style="17" customWidth="1"/>
    <col min="9729" max="9730" width="19" style="17" customWidth="1"/>
    <col min="9731" max="9731" width="12.42578125" style="17" customWidth="1"/>
    <col min="9732" max="9733" width="9.7109375" style="17" customWidth="1"/>
    <col min="9734" max="9734" width="10.140625" style="17" customWidth="1"/>
    <col min="9735" max="9735" width="24.140625" style="17" customWidth="1"/>
    <col min="9736" max="9736" width="35.140625" style="17" customWidth="1"/>
    <col min="9737" max="9980" width="11.42578125" style="17"/>
    <col min="9981" max="9981" width="44.5703125" style="17" customWidth="1"/>
    <col min="9982" max="9982" width="28.42578125" style="17" customWidth="1"/>
    <col min="9983" max="9983" width="27" style="17" customWidth="1"/>
    <col min="9984" max="9984" width="20.42578125" style="17" customWidth="1"/>
    <col min="9985" max="9986" width="19" style="17" customWidth="1"/>
    <col min="9987" max="9987" width="12.42578125" style="17" customWidth="1"/>
    <col min="9988" max="9989" width="9.7109375" style="17" customWidth="1"/>
    <col min="9990" max="9990" width="10.140625" style="17" customWidth="1"/>
    <col min="9991" max="9991" width="24.140625" style="17" customWidth="1"/>
    <col min="9992" max="9992" width="35.140625" style="17" customWidth="1"/>
    <col min="9993" max="10236" width="11.42578125" style="17"/>
    <col min="10237" max="10237" width="44.5703125" style="17" customWidth="1"/>
    <col min="10238" max="10238" width="28.42578125" style="17" customWidth="1"/>
    <col min="10239" max="10239" width="27" style="17" customWidth="1"/>
    <col min="10240" max="10240" width="20.42578125" style="17" customWidth="1"/>
    <col min="10241" max="10242" width="19" style="17" customWidth="1"/>
    <col min="10243" max="10243" width="12.42578125" style="17" customWidth="1"/>
    <col min="10244" max="10245" width="9.7109375" style="17" customWidth="1"/>
    <col min="10246" max="10246" width="10.140625" style="17" customWidth="1"/>
    <col min="10247" max="10247" width="24.140625" style="17" customWidth="1"/>
    <col min="10248" max="10248" width="35.140625" style="17" customWidth="1"/>
    <col min="10249" max="10492" width="11.42578125" style="17"/>
    <col min="10493" max="10493" width="44.5703125" style="17" customWidth="1"/>
    <col min="10494" max="10494" width="28.42578125" style="17" customWidth="1"/>
    <col min="10495" max="10495" width="27" style="17" customWidth="1"/>
    <col min="10496" max="10496" width="20.42578125" style="17" customWidth="1"/>
    <col min="10497" max="10498" width="19" style="17" customWidth="1"/>
    <col min="10499" max="10499" width="12.42578125" style="17" customWidth="1"/>
    <col min="10500" max="10501" width="9.7109375" style="17" customWidth="1"/>
    <col min="10502" max="10502" width="10.140625" style="17" customWidth="1"/>
    <col min="10503" max="10503" width="24.140625" style="17" customWidth="1"/>
    <col min="10504" max="10504" width="35.140625" style="17" customWidth="1"/>
    <col min="10505" max="10748" width="11.42578125" style="17"/>
    <col min="10749" max="10749" width="44.5703125" style="17" customWidth="1"/>
    <col min="10750" max="10750" width="28.42578125" style="17" customWidth="1"/>
    <col min="10751" max="10751" width="27" style="17" customWidth="1"/>
    <col min="10752" max="10752" width="20.42578125" style="17" customWidth="1"/>
    <col min="10753" max="10754" width="19" style="17" customWidth="1"/>
    <col min="10755" max="10755" width="12.42578125" style="17" customWidth="1"/>
    <col min="10756" max="10757" width="9.7109375" style="17" customWidth="1"/>
    <col min="10758" max="10758" width="10.140625" style="17" customWidth="1"/>
    <col min="10759" max="10759" width="24.140625" style="17" customWidth="1"/>
    <col min="10760" max="10760" width="35.140625" style="17" customWidth="1"/>
    <col min="10761" max="11004" width="11.42578125" style="17"/>
    <col min="11005" max="11005" width="44.5703125" style="17" customWidth="1"/>
    <col min="11006" max="11006" width="28.42578125" style="17" customWidth="1"/>
    <col min="11007" max="11007" width="27" style="17" customWidth="1"/>
    <col min="11008" max="11008" width="20.42578125" style="17" customWidth="1"/>
    <col min="11009" max="11010" width="19" style="17" customWidth="1"/>
    <col min="11011" max="11011" width="12.42578125" style="17" customWidth="1"/>
    <col min="11012" max="11013" width="9.7109375" style="17" customWidth="1"/>
    <col min="11014" max="11014" width="10.140625" style="17" customWidth="1"/>
    <col min="11015" max="11015" width="24.140625" style="17" customWidth="1"/>
    <col min="11016" max="11016" width="35.140625" style="17" customWidth="1"/>
    <col min="11017" max="11260" width="11.42578125" style="17"/>
    <col min="11261" max="11261" width="44.5703125" style="17" customWidth="1"/>
    <col min="11262" max="11262" width="28.42578125" style="17" customWidth="1"/>
    <col min="11263" max="11263" width="27" style="17" customWidth="1"/>
    <col min="11264" max="11264" width="20.42578125" style="17" customWidth="1"/>
    <col min="11265" max="11266" width="19" style="17" customWidth="1"/>
    <col min="11267" max="11267" width="12.42578125" style="17" customWidth="1"/>
    <col min="11268" max="11269" width="9.7109375" style="17" customWidth="1"/>
    <col min="11270" max="11270" width="10.140625" style="17" customWidth="1"/>
    <col min="11271" max="11271" width="24.140625" style="17" customWidth="1"/>
    <col min="11272" max="11272" width="35.140625" style="17" customWidth="1"/>
    <col min="11273" max="11516" width="11.42578125" style="17"/>
    <col min="11517" max="11517" width="44.5703125" style="17" customWidth="1"/>
    <col min="11518" max="11518" width="28.42578125" style="17" customWidth="1"/>
    <col min="11519" max="11519" width="27" style="17" customWidth="1"/>
    <col min="11520" max="11520" width="20.42578125" style="17" customWidth="1"/>
    <col min="11521" max="11522" width="19" style="17" customWidth="1"/>
    <col min="11523" max="11523" width="12.42578125" style="17" customWidth="1"/>
    <col min="11524" max="11525" width="9.7109375" style="17" customWidth="1"/>
    <col min="11526" max="11526" width="10.140625" style="17" customWidth="1"/>
    <col min="11527" max="11527" width="24.140625" style="17" customWidth="1"/>
    <col min="11528" max="11528" width="35.140625" style="17" customWidth="1"/>
    <col min="11529" max="11772" width="11.42578125" style="17"/>
    <col min="11773" max="11773" width="44.5703125" style="17" customWidth="1"/>
    <col min="11774" max="11774" width="28.42578125" style="17" customWidth="1"/>
    <col min="11775" max="11775" width="27" style="17" customWidth="1"/>
    <col min="11776" max="11776" width="20.42578125" style="17" customWidth="1"/>
    <col min="11777" max="11778" width="19" style="17" customWidth="1"/>
    <col min="11779" max="11779" width="12.42578125" style="17" customWidth="1"/>
    <col min="11780" max="11781" width="9.7109375" style="17" customWidth="1"/>
    <col min="11782" max="11782" width="10.140625" style="17" customWidth="1"/>
    <col min="11783" max="11783" width="24.140625" style="17" customWidth="1"/>
    <col min="11784" max="11784" width="35.140625" style="17" customWidth="1"/>
    <col min="11785" max="12028" width="11.42578125" style="17"/>
    <col min="12029" max="12029" width="44.5703125" style="17" customWidth="1"/>
    <col min="12030" max="12030" width="28.42578125" style="17" customWidth="1"/>
    <col min="12031" max="12031" width="27" style="17" customWidth="1"/>
    <col min="12032" max="12032" width="20.42578125" style="17" customWidth="1"/>
    <col min="12033" max="12034" width="19" style="17" customWidth="1"/>
    <col min="12035" max="12035" width="12.42578125" style="17" customWidth="1"/>
    <col min="12036" max="12037" width="9.7109375" style="17" customWidth="1"/>
    <col min="12038" max="12038" width="10.140625" style="17" customWidth="1"/>
    <col min="12039" max="12039" width="24.140625" style="17" customWidth="1"/>
    <col min="12040" max="12040" width="35.140625" style="17" customWidth="1"/>
    <col min="12041" max="12284" width="11.42578125" style="17"/>
    <col min="12285" max="12285" width="44.5703125" style="17" customWidth="1"/>
    <col min="12286" max="12286" width="28.42578125" style="17" customWidth="1"/>
    <col min="12287" max="12287" width="27" style="17" customWidth="1"/>
    <col min="12288" max="12288" width="20.42578125" style="17" customWidth="1"/>
    <col min="12289" max="12290" width="19" style="17" customWidth="1"/>
    <col min="12291" max="12291" width="12.42578125" style="17" customWidth="1"/>
    <col min="12292" max="12293" width="9.7109375" style="17" customWidth="1"/>
    <col min="12294" max="12294" width="10.140625" style="17" customWidth="1"/>
    <col min="12295" max="12295" width="24.140625" style="17" customWidth="1"/>
    <col min="12296" max="12296" width="35.140625" style="17" customWidth="1"/>
    <col min="12297" max="12540" width="11.42578125" style="17"/>
    <col min="12541" max="12541" width="44.5703125" style="17" customWidth="1"/>
    <col min="12542" max="12542" width="28.42578125" style="17" customWidth="1"/>
    <col min="12543" max="12543" width="27" style="17" customWidth="1"/>
    <col min="12544" max="12544" width="20.42578125" style="17" customWidth="1"/>
    <col min="12545" max="12546" width="19" style="17" customWidth="1"/>
    <col min="12547" max="12547" width="12.42578125" style="17" customWidth="1"/>
    <col min="12548" max="12549" width="9.7109375" style="17" customWidth="1"/>
    <col min="12550" max="12550" width="10.140625" style="17" customWidth="1"/>
    <col min="12551" max="12551" width="24.140625" style="17" customWidth="1"/>
    <col min="12552" max="12552" width="35.140625" style="17" customWidth="1"/>
    <col min="12553" max="12796" width="11.42578125" style="17"/>
    <col min="12797" max="12797" width="44.5703125" style="17" customWidth="1"/>
    <col min="12798" max="12798" width="28.42578125" style="17" customWidth="1"/>
    <col min="12799" max="12799" width="27" style="17" customWidth="1"/>
    <col min="12800" max="12800" width="20.42578125" style="17" customWidth="1"/>
    <col min="12801" max="12802" width="19" style="17" customWidth="1"/>
    <col min="12803" max="12803" width="12.42578125" style="17" customWidth="1"/>
    <col min="12804" max="12805" width="9.7109375" style="17" customWidth="1"/>
    <col min="12806" max="12806" width="10.140625" style="17" customWidth="1"/>
    <col min="12807" max="12807" width="24.140625" style="17" customWidth="1"/>
    <col min="12808" max="12808" width="35.140625" style="17" customWidth="1"/>
    <col min="12809" max="13052" width="11.42578125" style="17"/>
    <col min="13053" max="13053" width="44.5703125" style="17" customWidth="1"/>
    <col min="13054" max="13054" width="28.42578125" style="17" customWidth="1"/>
    <col min="13055" max="13055" width="27" style="17" customWidth="1"/>
    <col min="13056" max="13056" width="20.42578125" style="17" customWidth="1"/>
    <col min="13057" max="13058" width="19" style="17" customWidth="1"/>
    <col min="13059" max="13059" width="12.42578125" style="17" customWidth="1"/>
    <col min="13060" max="13061" width="9.7109375" style="17" customWidth="1"/>
    <col min="13062" max="13062" width="10.140625" style="17" customWidth="1"/>
    <col min="13063" max="13063" width="24.140625" style="17" customWidth="1"/>
    <col min="13064" max="13064" width="35.140625" style="17" customWidth="1"/>
    <col min="13065" max="13308" width="11.42578125" style="17"/>
    <col min="13309" max="13309" width="44.5703125" style="17" customWidth="1"/>
    <col min="13310" max="13310" width="28.42578125" style="17" customWidth="1"/>
    <col min="13311" max="13311" width="27" style="17" customWidth="1"/>
    <col min="13312" max="13312" width="20.42578125" style="17" customWidth="1"/>
    <col min="13313" max="13314" width="19" style="17" customWidth="1"/>
    <col min="13315" max="13315" width="12.42578125" style="17" customWidth="1"/>
    <col min="13316" max="13317" width="9.7109375" style="17" customWidth="1"/>
    <col min="13318" max="13318" width="10.140625" style="17" customWidth="1"/>
    <col min="13319" max="13319" width="24.140625" style="17" customWidth="1"/>
    <col min="13320" max="13320" width="35.140625" style="17" customWidth="1"/>
    <col min="13321" max="13564" width="11.42578125" style="17"/>
    <col min="13565" max="13565" width="44.5703125" style="17" customWidth="1"/>
    <col min="13566" max="13566" width="28.42578125" style="17" customWidth="1"/>
    <col min="13567" max="13567" width="27" style="17" customWidth="1"/>
    <col min="13568" max="13568" width="20.42578125" style="17" customWidth="1"/>
    <col min="13569" max="13570" width="19" style="17" customWidth="1"/>
    <col min="13571" max="13571" width="12.42578125" style="17" customWidth="1"/>
    <col min="13572" max="13573" width="9.7109375" style="17" customWidth="1"/>
    <col min="13574" max="13574" width="10.140625" style="17" customWidth="1"/>
    <col min="13575" max="13575" width="24.140625" style="17" customWidth="1"/>
    <col min="13576" max="13576" width="35.140625" style="17" customWidth="1"/>
    <col min="13577" max="13820" width="11.42578125" style="17"/>
    <col min="13821" max="13821" width="44.5703125" style="17" customWidth="1"/>
    <col min="13822" max="13822" width="28.42578125" style="17" customWidth="1"/>
    <col min="13823" max="13823" width="27" style="17" customWidth="1"/>
    <col min="13824" max="13824" width="20.42578125" style="17" customWidth="1"/>
    <col min="13825" max="13826" width="19" style="17" customWidth="1"/>
    <col min="13827" max="13827" width="12.42578125" style="17" customWidth="1"/>
    <col min="13828" max="13829" width="9.7109375" style="17" customWidth="1"/>
    <col min="13830" max="13830" width="10.140625" style="17" customWidth="1"/>
    <col min="13831" max="13831" width="24.140625" style="17" customWidth="1"/>
    <col min="13832" max="13832" width="35.140625" style="17" customWidth="1"/>
    <col min="13833" max="14076" width="11.42578125" style="17"/>
    <col min="14077" max="14077" width="44.5703125" style="17" customWidth="1"/>
    <col min="14078" max="14078" width="28.42578125" style="17" customWidth="1"/>
    <col min="14079" max="14079" width="27" style="17" customWidth="1"/>
    <col min="14080" max="14080" width="20.42578125" style="17" customWidth="1"/>
    <col min="14081" max="14082" width="19" style="17" customWidth="1"/>
    <col min="14083" max="14083" width="12.42578125" style="17" customWidth="1"/>
    <col min="14084" max="14085" width="9.7109375" style="17" customWidth="1"/>
    <col min="14086" max="14086" width="10.140625" style="17" customWidth="1"/>
    <col min="14087" max="14087" width="24.140625" style="17" customWidth="1"/>
    <col min="14088" max="14088" width="35.140625" style="17" customWidth="1"/>
    <col min="14089" max="14332" width="11.42578125" style="17"/>
    <col min="14333" max="14333" width="44.5703125" style="17" customWidth="1"/>
    <col min="14334" max="14334" width="28.42578125" style="17" customWidth="1"/>
    <col min="14335" max="14335" width="27" style="17" customWidth="1"/>
    <col min="14336" max="14336" width="20.42578125" style="17" customWidth="1"/>
    <col min="14337" max="14338" width="19" style="17" customWidth="1"/>
    <col min="14339" max="14339" width="12.42578125" style="17" customWidth="1"/>
    <col min="14340" max="14341" width="9.7109375" style="17" customWidth="1"/>
    <col min="14342" max="14342" width="10.140625" style="17" customWidth="1"/>
    <col min="14343" max="14343" width="24.140625" style="17" customWidth="1"/>
    <col min="14344" max="14344" width="35.140625" style="17" customWidth="1"/>
    <col min="14345" max="14588" width="11.42578125" style="17"/>
    <col min="14589" max="14589" width="44.5703125" style="17" customWidth="1"/>
    <col min="14590" max="14590" width="28.42578125" style="17" customWidth="1"/>
    <col min="14591" max="14591" width="27" style="17" customWidth="1"/>
    <col min="14592" max="14592" width="20.42578125" style="17" customWidth="1"/>
    <col min="14593" max="14594" width="19" style="17" customWidth="1"/>
    <col min="14595" max="14595" width="12.42578125" style="17" customWidth="1"/>
    <col min="14596" max="14597" width="9.7109375" style="17" customWidth="1"/>
    <col min="14598" max="14598" width="10.140625" style="17" customWidth="1"/>
    <col min="14599" max="14599" width="24.140625" style="17" customWidth="1"/>
    <col min="14600" max="14600" width="35.140625" style="17" customWidth="1"/>
    <col min="14601" max="14844" width="11.42578125" style="17"/>
    <col min="14845" max="14845" width="44.5703125" style="17" customWidth="1"/>
    <col min="14846" max="14846" width="28.42578125" style="17" customWidth="1"/>
    <col min="14847" max="14847" width="27" style="17" customWidth="1"/>
    <col min="14848" max="14848" width="20.42578125" style="17" customWidth="1"/>
    <col min="14849" max="14850" width="19" style="17" customWidth="1"/>
    <col min="14851" max="14851" width="12.42578125" style="17" customWidth="1"/>
    <col min="14852" max="14853" width="9.7109375" style="17" customWidth="1"/>
    <col min="14854" max="14854" width="10.140625" style="17" customWidth="1"/>
    <col min="14855" max="14855" width="24.140625" style="17" customWidth="1"/>
    <col min="14856" max="14856" width="35.140625" style="17" customWidth="1"/>
    <col min="14857" max="15100" width="11.42578125" style="17"/>
    <col min="15101" max="15101" width="44.5703125" style="17" customWidth="1"/>
    <col min="15102" max="15102" width="28.42578125" style="17" customWidth="1"/>
    <col min="15103" max="15103" width="27" style="17" customWidth="1"/>
    <col min="15104" max="15104" width="20.42578125" style="17" customWidth="1"/>
    <col min="15105" max="15106" width="19" style="17" customWidth="1"/>
    <col min="15107" max="15107" width="12.42578125" style="17" customWidth="1"/>
    <col min="15108" max="15109" width="9.7109375" style="17" customWidth="1"/>
    <col min="15110" max="15110" width="10.140625" style="17" customWidth="1"/>
    <col min="15111" max="15111" width="24.140625" style="17" customWidth="1"/>
    <col min="15112" max="15112" width="35.140625" style="17" customWidth="1"/>
    <col min="15113" max="15356" width="11.42578125" style="17"/>
    <col min="15357" max="15357" width="44.5703125" style="17" customWidth="1"/>
    <col min="15358" max="15358" width="28.42578125" style="17" customWidth="1"/>
    <col min="15359" max="15359" width="27" style="17" customWidth="1"/>
    <col min="15360" max="15360" width="20.42578125" style="17" customWidth="1"/>
    <col min="15361" max="15362" width="19" style="17" customWidth="1"/>
    <col min="15363" max="15363" width="12.42578125" style="17" customWidth="1"/>
    <col min="15364" max="15365" width="9.7109375" style="17" customWidth="1"/>
    <col min="15366" max="15366" width="10.140625" style="17" customWidth="1"/>
    <col min="15367" max="15367" width="24.140625" style="17" customWidth="1"/>
    <col min="15368" max="15368" width="35.140625" style="17" customWidth="1"/>
    <col min="15369" max="15612" width="11.42578125" style="17"/>
    <col min="15613" max="15613" width="44.5703125" style="17" customWidth="1"/>
    <col min="15614" max="15614" width="28.42578125" style="17" customWidth="1"/>
    <col min="15615" max="15615" width="27" style="17" customWidth="1"/>
    <col min="15616" max="15616" width="20.42578125" style="17" customWidth="1"/>
    <col min="15617" max="15618" width="19" style="17" customWidth="1"/>
    <col min="15619" max="15619" width="12.42578125" style="17" customWidth="1"/>
    <col min="15620" max="15621" width="9.7109375" style="17" customWidth="1"/>
    <col min="15622" max="15622" width="10.140625" style="17" customWidth="1"/>
    <col min="15623" max="15623" width="24.140625" style="17" customWidth="1"/>
    <col min="15624" max="15624" width="35.140625" style="17" customWidth="1"/>
    <col min="15625" max="15868" width="11.42578125" style="17"/>
    <col min="15869" max="15869" width="44.5703125" style="17" customWidth="1"/>
    <col min="15870" max="15870" width="28.42578125" style="17" customWidth="1"/>
    <col min="15871" max="15871" width="27" style="17" customWidth="1"/>
    <col min="15872" max="15872" width="20.42578125" style="17" customWidth="1"/>
    <col min="15873" max="15874" width="19" style="17" customWidth="1"/>
    <col min="15875" max="15875" width="12.42578125" style="17" customWidth="1"/>
    <col min="15876" max="15877" width="9.7109375" style="17" customWidth="1"/>
    <col min="15878" max="15878" width="10.140625" style="17" customWidth="1"/>
    <col min="15879" max="15879" width="24.140625" style="17" customWidth="1"/>
    <col min="15880" max="15880" width="35.140625" style="17" customWidth="1"/>
    <col min="15881" max="16124" width="11.42578125" style="17"/>
    <col min="16125" max="16125" width="44.5703125" style="17" customWidth="1"/>
    <col min="16126" max="16126" width="28.42578125" style="17" customWidth="1"/>
    <col min="16127" max="16127" width="27" style="17" customWidth="1"/>
    <col min="16128" max="16128" width="20.42578125" style="17" customWidth="1"/>
    <col min="16129" max="16130" width="19" style="17" customWidth="1"/>
    <col min="16131" max="16131" width="12.42578125" style="17" customWidth="1"/>
    <col min="16132" max="16133" width="9.7109375" style="17" customWidth="1"/>
    <col min="16134" max="16134" width="10.140625" style="17" customWidth="1"/>
    <col min="16135" max="16135" width="24.140625" style="17" customWidth="1"/>
    <col min="16136" max="16136" width="35.140625" style="17" customWidth="1"/>
    <col min="16137" max="16384" width="11.42578125" style="17"/>
  </cols>
  <sheetData>
    <row r="2" spans="2:22" ht="28.5" customHeight="1">
      <c r="B2" s="1608" t="s">
        <v>307</v>
      </c>
      <c r="C2" s="1608"/>
      <c r="D2" s="1608"/>
      <c r="E2" s="1608"/>
      <c r="F2" s="1608"/>
      <c r="G2" s="1608"/>
      <c r="H2" s="1608"/>
      <c r="I2" s="1608"/>
      <c r="J2" s="1608"/>
      <c r="K2" s="1608"/>
      <c r="L2" s="1608"/>
      <c r="M2" s="1608"/>
    </row>
    <row r="3" spans="2:22" ht="21.75" customHeight="1">
      <c r="B3" s="1609" t="s">
        <v>308</v>
      </c>
      <c r="C3" s="1609"/>
      <c r="D3" s="1609"/>
      <c r="E3" s="1609"/>
      <c r="F3" s="1609"/>
      <c r="G3" s="1609"/>
      <c r="H3" s="1609"/>
      <c r="I3" s="1609"/>
      <c r="J3" s="1609"/>
      <c r="K3" s="1609"/>
      <c r="L3" s="1609"/>
      <c r="M3" s="1609"/>
    </row>
    <row r="4" spans="2:22" ht="21.75" customHeight="1">
      <c r="B4" s="1609" t="s">
        <v>2048</v>
      </c>
      <c r="C4" s="1609"/>
      <c r="D4" s="1609"/>
      <c r="E4" s="1609"/>
      <c r="F4" s="1609"/>
      <c r="G4" s="1609"/>
      <c r="H4" s="1609"/>
      <c r="I4" s="1609"/>
      <c r="J4" s="1609"/>
      <c r="K4" s="1609"/>
      <c r="L4" s="1609"/>
      <c r="M4" s="1609"/>
    </row>
    <row r="5" spans="2:22" ht="23.25" customHeight="1">
      <c r="B5" s="102"/>
      <c r="C5" s="102"/>
      <c r="D5" s="102"/>
      <c r="E5" s="1104"/>
      <c r="F5" s="1105"/>
      <c r="G5" s="1106"/>
      <c r="H5" s="1104"/>
      <c r="K5" s="1610" t="s">
        <v>228</v>
      </c>
      <c r="L5" s="1610"/>
      <c r="M5" s="1610"/>
    </row>
    <row r="6" spans="2:22" ht="48.75" customHeight="1">
      <c r="B6" s="1553" t="s">
        <v>48</v>
      </c>
      <c r="C6" s="1553" t="s">
        <v>49</v>
      </c>
      <c r="D6" s="1553" t="s">
        <v>229</v>
      </c>
      <c r="E6" s="1536" t="s">
        <v>230</v>
      </c>
      <c r="F6" s="1553" t="s">
        <v>131</v>
      </c>
      <c r="G6" s="1611" t="s">
        <v>231</v>
      </c>
      <c r="H6" s="1553" t="s">
        <v>232</v>
      </c>
      <c r="I6" s="1553" t="s">
        <v>233</v>
      </c>
      <c r="J6" s="1604" t="s">
        <v>234</v>
      </c>
      <c r="K6" s="1605"/>
      <c r="L6" s="1605"/>
      <c r="M6" s="1606"/>
    </row>
    <row r="7" spans="2:22" ht="25.5" customHeight="1">
      <c r="B7" s="1553"/>
      <c r="C7" s="1553"/>
      <c r="D7" s="1553"/>
      <c r="E7" s="1556"/>
      <c r="F7" s="1553"/>
      <c r="G7" s="1612"/>
      <c r="H7" s="1553"/>
      <c r="I7" s="1553"/>
      <c r="J7" s="1557" t="s">
        <v>236</v>
      </c>
      <c r="K7" s="1558"/>
      <c r="L7" s="1574" t="s">
        <v>237</v>
      </c>
      <c r="M7" s="1575"/>
      <c r="N7" s="1102" t="s">
        <v>71</v>
      </c>
      <c r="O7" s="1607" t="s">
        <v>235</v>
      </c>
      <c r="P7" s="1602"/>
      <c r="Q7" s="1600" t="s">
        <v>2049</v>
      </c>
      <c r="R7" s="1601"/>
      <c r="S7" s="1600" t="s">
        <v>2050</v>
      </c>
      <c r="T7" s="1602"/>
      <c r="U7" s="1600" t="s">
        <v>2051</v>
      </c>
      <c r="V7" s="1602"/>
    </row>
    <row r="8" spans="2:22" ht="27.75" customHeight="1">
      <c r="B8" s="1553"/>
      <c r="C8" s="1553"/>
      <c r="D8" s="1553"/>
      <c r="E8" s="1090" t="s">
        <v>238</v>
      </c>
      <c r="F8" s="1553"/>
      <c r="G8" s="1613"/>
      <c r="H8" s="1553"/>
      <c r="I8" s="1553"/>
      <c r="J8" s="104" t="s">
        <v>239</v>
      </c>
      <c r="K8" s="104" t="s">
        <v>240</v>
      </c>
      <c r="L8" s="104" t="s">
        <v>239</v>
      </c>
      <c r="M8" s="1107" t="s">
        <v>240</v>
      </c>
      <c r="O8" s="1108" t="s">
        <v>18</v>
      </c>
      <c r="P8" s="1109" t="s">
        <v>71</v>
      </c>
      <c r="Q8" s="1110" t="s">
        <v>18</v>
      </c>
      <c r="R8" s="525" t="s">
        <v>71</v>
      </c>
      <c r="S8" s="1110" t="s">
        <v>18</v>
      </c>
      <c r="T8" s="1109" t="s">
        <v>71</v>
      </c>
      <c r="U8" s="1110" t="s">
        <v>18</v>
      </c>
      <c r="V8" s="1109" t="s">
        <v>71</v>
      </c>
    </row>
    <row r="9" spans="2:22" s="101" customFormat="1" ht="45">
      <c r="B9" s="476" t="s">
        <v>2052</v>
      </c>
      <c r="C9" s="477">
        <f>C10+C127+C183+C184+C200+C225</f>
        <v>51324999999.699165</v>
      </c>
      <c r="D9" s="106"/>
      <c r="E9" s="109"/>
      <c r="F9" s="476"/>
      <c r="G9" s="1111"/>
      <c r="H9" s="109"/>
      <c r="I9" s="109"/>
      <c r="J9" s="109"/>
      <c r="K9" s="109"/>
      <c r="L9" s="109"/>
      <c r="M9" s="1112"/>
      <c r="N9" s="1102"/>
      <c r="O9" s="1108"/>
      <c r="P9" s="1109"/>
      <c r="Q9" s="1110"/>
      <c r="R9" s="525"/>
      <c r="S9" s="1110"/>
      <c r="T9" s="1113"/>
      <c r="U9" s="1110"/>
      <c r="V9" s="1113"/>
    </row>
    <row r="10" spans="2:22" ht="61.5" customHeight="1">
      <c r="B10" s="476" t="s">
        <v>2053</v>
      </c>
      <c r="C10" s="343">
        <v>34358000000</v>
      </c>
      <c r="D10" s="124"/>
      <c r="E10" s="193"/>
      <c r="F10" s="476"/>
      <c r="G10" s="1111">
        <f>32024000000-C10</f>
        <v>-2334000000</v>
      </c>
      <c r="H10" s="109"/>
      <c r="I10" s="109"/>
      <c r="J10" s="109"/>
      <c r="K10" s="109"/>
      <c r="L10" s="109"/>
      <c r="M10" s="1112"/>
      <c r="O10" s="1108"/>
      <c r="P10" s="1109"/>
      <c r="Q10" s="1110"/>
      <c r="R10" s="525"/>
      <c r="S10" s="1110"/>
      <c r="T10" s="1109"/>
      <c r="U10" s="1110"/>
      <c r="V10" s="1109"/>
    </row>
    <row r="11" spans="2:22" ht="33.75" customHeight="1">
      <c r="B11" s="106"/>
      <c r="C11" s="477"/>
      <c r="D11" s="1114" t="s">
        <v>269</v>
      </c>
      <c r="E11" s="109" t="s">
        <v>14</v>
      </c>
      <c r="F11" s="1587" t="s">
        <v>2054</v>
      </c>
      <c r="G11" s="1115">
        <f>167473999+13191</f>
        <v>167487190</v>
      </c>
      <c r="H11" s="109" t="s">
        <v>677</v>
      </c>
      <c r="I11" s="109" t="s">
        <v>677</v>
      </c>
      <c r="J11" s="109" t="s">
        <v>677</v>
      </c>
      <c r="K11" s="109" t="s">
        <v>677</v>
      </c>
      <c r="L11" s="109" t="s">
        <v>554</v>
      </c>
      <c r="M11" s="1112">
        <f t="shared" ref="M11:M74" si="0">G11/12</f>
        <v>13957265.833333334</v>
      </c>
      <c r="N11" s="1102" t="s">
        <v>2055</v>
      </c>
      <c r="O11" s="1108" t="s">
        <v>1257</v>
      </c>
      <c r="P11" s="1603" t="s">
        <v>2056</v>
      </c>
      <c r="Q11" s="1108" t="s">
        <v>1257</v>
      </c>
      <c r="R11" s="1603" t="s">
        <v>2056</v>
      </c>
      <c r="S11" s="1108" t="s">
        <v>1257</v>
      </c>
      <c r="T11" s="1603" t="s">
        <v>2056</v>
      </c>
      <c r="U11" s="1108" t="s">
        <v>1257</v>
      </c>
      <c r="V11" s="1603" t="s">
        <v>2057</v>
      </c>
    </row>
    <row r="12" spans="2:22" ht="33.75">
      <c r="B12" s="106"/>
      <c r="C12" s="477"/>
      <c r="D12" s="1116" t="s">
        <v>2058</v>
      </c>
      <c r="E12" s="109" t="s">
        <v>14</v>
      </c>
      <c r="F12" s="1587"/>
      <c r="G12" s="1111">
        <v>813055664</v>
      </c>
      <c r="H12" s="109" t="s">
        <v>677</v>
      </c>
      <c r="I12" s="109" t="s">
        <v>677</v>
      </c>
      <c r="J12" s="109" t="s">
        <v>677</v>
      </c>
      <c r="K12" s="109" t="s">
        <v>677</v>
      </c>
      <c r="L12" s="109" t="s">
        <v>554</v>
      </c>
      <c r="M12" s="1112">
        <f t="shared" si="0"/>
        <v>67754638.666666672</v>
      </c>
      <c r="N12" s="1102" t="s">
        <v>2055</v>
      </c>
      <c r="O12" s="1108" t="s">
        <v>1257</v>
      </c>
      <c r="P12" s="1585"/>
      <c r="Q12" s="1108" t="s">
        <v>1257</v>
      </c>
      <c r="R12" s="1585"/>
      <c r="S12" s="1108" t="s">
        <v>1257</v>
      </c>
      <c r="T12" s="1585"/>
      <c r="U12" s="1108" t="s">
        <v>1257</v>
      </c>
      <c r="V12" s="1585"/>
    </row>
    <row r="13" spans="2:22" ht="33.75">
      <c r="B13" s="106"/>
      <c r="C13" s="477"/>
      <c r="D13" s="1116" t="s">
        <v>2059</v>
      </c>
      <c r="E13" s="109" t="s">
        <v>14</v>
      </c>
      <c r="F13" s="1587"/>
      <c r="G13" s="1111">
        <v>934027155</v>
      </c>
      <c r="H13" s="109" t="s">
        <v>677</v>
      </c>
      <c r="I13" s="109" t="s">
        <v>677</v>
      </c>
      <c r="J13" s="109" t="s">
        <v>677</v>
      </c>
      <c r="K13" s="109" t="s">
        <v>677</v>
      </c>
      <c r="L13" s="109" t="s">
        <v>554</v>
      </c>
      <c r="M13" s="1112">
        <f t="shared" si="0"/>
        <v>77835596.25</v>
      </c>
      <c r="N13" s="1102" t="s">
        <v>2055</v>
      </c>
      <c r="O13" s="1108" t="s">
        <v>1257</v>
      </c>
      <c r="P13" s="1585"/>
      <c r="Q13" s="1108" t="s">
        <v>1257</v>
      </c>
      <c r="R13" s="1585"/>
      <c r="S13" s="1108" t="s">
        <v>1257</v>
      </c>
      <c r="T13" s="1585"/>
      <c r="U13" s="1108" t="s">
        <v>1257</v>
      </c>
      <c r="V13" s="1585"/>
    </row>
    <row r="14" spans="2:22" ht="33.75">
      <c r="B14" s="106"/>
      <c r="C14" s="477"/>
      <c r="D14" s="1116" t="s">
        <v>2060</v>
      </c>
      <c r="E14" s="109" t="s">
        <v>14</v>
      </c>
      <c r="F14" s="1587"/>
      <c r="G14" s="1111">
        <v>813261160</v>
      </c>
      <c r="H14" s="109" t="s">
        <v>677</v>
      </c>
      <c r="I14" s="109" t="s">
        <v>677</v>
      </c>
      <c r="J14" s="109" t="s">
        <v>677</v>
      </c>
      <c r="K14" s="109" t="s">
        <v>677</v>
      </c>
      <c r="L14" s="109" t="s">
        <v>554</v>
      </c>
      <c r="M14" s="1112">
        <f t="shared" si="0"/>
        <v>67771763.333333328</v>
      </c>
      <c r="N14" s="1102" t="s">
        <v>2055</v>
      </c>
      <c r="O14" s="1108" t="s">
        <v>1257</v>
      </c>
      <c r="P14" s="1585"/>
      <c r="Q14" s="1108" t="s">
        <v>1257</v>
      </c>
      <c r="R14" s="1585"/>
      <c r="S14" s="1108" t="s">
        <v>1257</v>
      </c>
      <c r="T14" s="1585"/>
      <c r="U14" s="1108" t="s">
        <v>1257</v>
      </c>
      <c r="V14" s="1585"/>
    </row>
    <row r="15" spans="2:22" ht="33.75">
      <c r="B15" s="106"/>
      <c r="C15" s="477"/>
      <c r="D15" s="1116" t="s">
        <v>2061</v>
      </c>
      <c r="E15" s="109" t="s">
        <v>14</v>
      </c>
      <c r="F15" s="1587"/>
      <c r="G15" s="1111">
        <v>75284354</v>
      </c>
      <c r="H15" s="109" t="s">
        <v>677</v>
      </c>
      <c r="I15" s="109" t="s">
        <v>677</v>
      </c>
      <c r="J15" s="109" t="s">
        <v>677</v>
      </c>
      <c r="K15" s="109" t="s">
        <v>677</v>
      </c>
      <c r="L15" s="109" t="s">
        <v>554</v>
      </c>
      <c r="M15" s="1112">
        <f t="shared" si="0"/>
        <v>6273696.166666667</v>
      </c>
      <c r="N15" s="1102" t="s">
        <v>2055</v>
      </c>
      <c r="O15" s="1108" t="s">
        <v>1257</v>
      </c>
      <c r="P15" s="1585"/>
      <c r="Q15" s="1108" t="s">
        <v>1257</v>
      </c>
      <c r="R15" s="1585"/>
      <c r="S15" s="1108" t="s">
        <v>1257</v>
      </c>
      <c r="T15" s="1585"/>
      <c r="U15" s="1108" t="s">
        <v>1257</v>
      </c>
      <c r="V15" s="1585"/>
    </row>
    <row r="16" spans="2:22" ht="33.75">
      <c r="B16" s="106"/>
      <c r="C16" s="477"/>
      <c r="D16" s="1116" t="s">
        <v>2062</v>
      </c>
      <c r="E16" s="109" t="s">
        <v>14</v>
      </c>
      <c r="F16" s="1587"/>
      <c r="G16" s="1111">
        <v>75284354</v>
      </c>
      <c r="H16" s="109" t="s">
        <v>677</v>
      </c>
      <c r="I16" s="109" t="s">
        <v>677</v>
      </c>
      <c r="J16" s="109" t="s">
        <v>677</v>
      </c>
      <c r="K16" s="109" t="s">
        <v>677</v>
      </c>
      <c r="L16" s="109" t="s">
        <v>554</v>
      </c>
      <c r="M16" s="1112">
        <f t="shared" si="0"/>
        <v>6273696.166666667</v>
      </c>
      <c r="N16" s="1102" t="s">
        <v>2055</v>
      </c>
      <c r="O16" s="1108" t="s">
        <v>1257</v>
      </c>
      <c r="P16" s="1585"/>
      <c r="Q16" s="1108" t="s">
        <v>1257</v>
      </c>
      <c r="R16" s="1585"/>
      <c r="S16" s="1108" t="s">
        <v>1257</v>
      </c>
      <c r="T16" s="1585"/>
      <c r="U16" s="1108" t="s">
        <v>1257</v>
      </c>
      <c r="V16" s="1585"/>
    </row>
    <row r="17" spans="2:22" ht="33.75">
      <c r="B17" s="106"/>
      <c r="C17" s="477"/>
      <c r="D17" s="1116" t="s">
        <v>2063</v>
      </c>
      <c r="E17" s="109" t="s">
        <v>14</v>
      </c>
      <c r="F17" s="1587"/>
      <c r="G17" s="1111">
        <v>330210687</v>
      </c>
      <c r="H17" s="109" t="s">
        <v>677</v>
      </c>
      <c r="I17" s="109" t="s">
        <v>677</v>
      </c>
      <c r="J17" s="109" t="s">
        <v>677</v>
      </c>
      <c r="K17" s="109" t="s">
        <v>677</v>
      </c>
      <c r="L17" s="109" t="s">
        <v>554</v>
      </c>
      <c r="M17" s="1112">
        <f t="shared" si="0"/>
        <v>27517557.25</v>
      </c>
      <c r="N17" s="1102" t="s">
        <v>2055</v>
      </c>
      <c r="O17" s="1108" t="s">
        <v>1257</v>
      </c>
      <c r="P17" s="1585"/>
      <c r="Q17" s="1108" t="s">
        <v>1257</v>
      </c>
      <c r="R17" s="1585"/>
      <c r="S17" s="1108" t="s">
        <v>1257</v>
      </c>
      <c r="T17" s="1585"/>
      <c r="U17" s="1108" t="s">
        <v>1257</v>
      </c>
      <c r="V17" s="1585"/>
    </row>
    <row r="18" spans="2:22" ht="33.75">
      <c r="B18" s="106"/>
      <c r="C18" s="477"/>
      <c r="D18" s="1116" t="s">
        <v>2064</v>
      </c>
      <c r="E18" s="109" t="s">
        <v>14</v>
      </c>
      <c r="F18" s="1587"/>
      <c r="G18" s="1111">
        <v>957481885</v>
      </c>
      <c r="H18" s="109" t="s">
        <v>677</v>
      </c>
      <c r="I18" s="109" t="s">
        <v>677</v>
      </c>
      <c r="J18" s="109" t="s">
        <v>677</v>
      </c>
      <c r="K18" s="109" t="s">
        <v>677</v>
      </c>
      <c r="L18" s="109" t="s">
        <v>554</v>
      </c>
      <c r="M18" s="1112">
        <f t="shared" si="0"/>
        <v>79790157.083333328</v>
      </c>
      <c r="N18" s="1102" t="s">
        <v>2055</v>
      </c>
      <c r="O18" s="1108" t="s">
        <v>1257</v>
      </c>
      <c r="P18" s="1585"/>
      <c r="Q18" s="1108" t="s">
        <v>1257</v>
      </c>
      <c r="R18" s="1585"/>
      <c r="S18" s="1108" t="s">
        <v>1257</v>
      </c>
      <c r="T18" s="1585"/>
      <c r="U18" s="1108" t="s">
        <v>1257</v>
      </c>
      <c r="V18" s="1585"/>
    </row>
    <row r="19" spans="2:22" ht="33.75">
      <c r="B19" s="106"/>
      <c r="C19" s="477"/>
      <c r="D19" s="1116" t="s">
        <v>2065</v>
      </c>
      <c r="E19" s="109" t="s">
        <v>14</v>
      </c>
      <c r="F19" s="1587"/>
      <c r="G19" s="1111">
        <v>1656287735</v>
      </c>
      <c r="H19" s="109" t="s">
        <v>677</v>
      </c>
      <c r="I19" s="109" t="s">
        <v>677</v>
      </c>
      <c r="J19" s="109" t="s">
        <v>677</v>
      </c>
      <c r="K19" s="109" t="s">
        <v>677</v>
      </c>
      <c r="L19" s="109" t="s">
        <v>554</v>
      </c>
      <c r="M19" s="1112">
        <f t="shared" si="0"/>
        <v>138023977.91666666</v>
      </c>
      <c r="N19" s="1102" t="s">
        <v>2055</v>
      </c>
      <c r="O19" s="1108" t="s">
        <v>1257</v>
      </c>
      <c r="P19" s="1585"/>
      <c r="Q19" s="1108" t="s">
        <v>1257</v>
      </c>
      <c r="R19" s="1585"/>
      <c r="S19" s="1108" t="s">
        <v>1257</v>
      </c>
      <c r="T19" s="1585"/>
      <c r="U19" s="1108" t="s">
        <v>1257</v>
      </c>
      <c r="V19" s="1585"/>
    </row>
    <row r="20" spans="2:22" ht="33.75">
      <c r="B20" s="106"/>
      <c r="C20" s="477"/>
      <c r="D20" s="1116" t="s">
        <v>2066</v>
      </c>
      <c r="E20" s="109" t="s">
        <v>14</v>
      </c>
      <c r="F20" s="1587"/>
      <c r="G20" s="1111">
        <v>216767466</v>
      </c>
      <c r="H20" s="109" t="s">
        <v>677</v>
      </c>
      <c r="I20" s="109" t="s">
        <v>677</v>
      </c>
      <c r="J20" s="109" t="s">
        <v>677</v>
      </c>
      <c r="K20" s="109" t="s">
        <v>677</v>
      </c>
      <c r="L20" s="109" t="s">
        <v>554</v>
      </c>
      <c r="M20" s="1112">
        <f t="shared" si="0"/>
        <v>18063955.5</v>
      </c>
      <c r="N20" s="1102" t="s">
        <v>2055</v>
      </c>
      <c r="O20" s="1108" t="s">
        <v>1257</v>
      </c>
      <c r="P20" s="1585"/>
      <c r="Q20" s="1108" t="s">
        <v>1257</v>
      </c>
      <c r="R20" s="1585"/>
      <c r="S20" s="1108" t="s">
        <v>1257</v>
      </c>
      <c r="T20" s="1585"/>
      <c r="U20" s="1108" t="s">
        <v>1257</v>
      </c>
      <c r="V20" s="1585"/>
    </row>
    <row r="21" spans="2:22" ht="33.75">
      <c r="B21" s="106"/>
      <c r="C21" s="477"/>
      <c r="D21" s="1116" t="s">
        <v>2067</v>
      </c>
      <c r="E21" s="109" t="s">
        <v>14</v>
      </c>
      <c r="F21" s="1587"/>
      <c r="G21" s="1111">
        <v>827359294</v>
      </c>
      <c r="H21" s="109" t="s">
        <v>677</v>
      </c>
      <c r="I21" s="109" t="s">
        <v>677</v>
      </c>
      <c r="J21" s="109" t="s">
        <v>677</v>
      </c>
      <c r="K21" s="109" t="s">
        <v>677</v>
      </c>
      <c r="L21" s="109" t="s">
        <v>554</v>
      </c>
      <c r="M21" s="1112">
        <f t="shared" si="0"/>
        <v>68946607.833333328</v>
      </c>
      <c r="N21" s="1102" t="s">
        <v>2055</v>
      </c>
      <c r="O21" s="1108" t="s">
        <v>1257</v>
      </c>
      <c r="P21" s="1585"/>
      <c r="Q21" s="1108" t="s">
        <v>1257</v>
      </c>
      <c r="R21" s="1585"/>
      <c r="S21" s="1108" t="s">
        <v>1257</v>
      </c>
      <c r="T21" s="1585"/>
      <c r="U21" s="1108" t="s">
        <v>1257</v>
      </c>
      <c r="V21" s="1585"/>
    </row>
    <row r="22" spans="2:22" ht="33.75">
      <c r="B22" s="106"/>
      <c r="C22" s="477"/>
      <c r="D22" s="1116" t="s">
        <v>2068</v>
      </c>
      <c r="E22" s="109" t="s">
        <v>14</v>
      </c>
      <c r="F22" s="1587"/>
      <c r="G22" s="1111">
        <v>216767466</v>
      </c>
      <c r="H22" s="109" t="s">
        <v>677</v>
      </c>
      <c r="I22" s="109" t="s">
        <v>677</v>
      </c>
      <c r="J22" s="109" t="s">
        <v>677</v>
      </c>
      <c r="K22" s="109" t="s">
        <v>677</v>
      </c>
      <c r="L22" s="109" t="s">
        <v>554</v>
      </c>
      <c r="M22" s="1112">
        <f t="shared" si="0"/>
        <v>18063955.5</v>
      </c>
      <c r="N22" s="1102" t="s">
        <v>2055</v>
      </c>
      <c r="O22" s="1108" t="s">
        <v>1257</v>
      </c>
      <c r="P22" s="1585"/>
      <c r="Q22" s="1108" t="s">
        <v>1257</v>
      </c>
      <c r="R22" s="1585"/>
      <c r="S22" s="1108" t="s">
        <v>1257</v>
      </c>
      <c r="T22" s="1585"/>
      <c r="U22" s="1108" t="s">
        <v>1257</v>
      </c>
      <c r="V22" s="1585"/>
    </row>
    <row r="23" spans="2:22" ht="33.75">
      <c r="B23" s="106"/>
      <c r="C23" s="477"/>
      <c r="D23" s="1116" t="s">
        <v>2069</v>
      </c>
      <c r="E23" s="109" t="s">
        <v>14</v>
      </c>
      <c r="F23" s="1587"/>
      <c r="G23" s="1111">
        <v>75284354</v>
      </c>
      <c r="H23" s="109" t="s">
        <v>677</v>
      </c>
      <c r="I23" s="109" t="s">
        <v>677</v>
      </c>
      <c r="J23" s="109" t="s">
        <v>677</v>
      </c>
      <c r="K23" s="109" t="s">
        <v>677</v>
      </c>
      <c r="L23" s="109" t="s">
        <v>554</v>
      </c>
      <c r="M23" s="1112">
        <f t="shared" si="0"/>
        <v>6273696.166666667</v>
      </c>
      <c r="N23" s="1102" t="s">
        <v>2055</v>
      </c>
      <c r="O23" s="1108" t="s">
        <v>1257</v>
      </c>
      <c r="P23" s="1585"/>
      <c r="Q23" s="1108" t="s">
        <v>1257</v>
      </c>
      <c r="R23" s="1585"/>
      <c r="S23" s="1108" t="s">
        <v>1257</v>
      </c>
      <c r="T23" s="1585"/>
      <c r="U23" s="1108" t="s">
        <v>1257</v>
      </c>
      <c r="V23" s="1585"/>
    </row>
    <row r="24" spans="2:22" ht="33.75">
      <c r="B24" s="106"/>
      <c r="C24" s="477"/>
      <c r="D24" s="1114" t="s">
        <v>266</v>
      </c>
      <c r="E24" s="109" t="s">
        <v>14</v>
      </c>
      <c r="F24" s="1587"/>
      <c r="G24" s="1117">
        <f>299937665+1199750</f>
        <v>301137415</v>
      </c>
      <c r="H24" s="109" t="s">
        <v>677</v>
      </c>
      <c r="I24" s="109" t="s">
        <v>677</v>
      </c>
      <c r="J24" s="109" t="s">
        <v>677</v>
      </c>
      <c r="K24" s="109" t="s">
        <v>677</v>
      </c>
      <c r="L24" s="109" t="s">
        <v>554</v>
      </c>
      <c r="M24" s="1112">
        <f t="shared" si="0"/>
        <v>25094784.583333332</v>
      </c>
      <c r="N24" s="1102" t="s">
        <v>2055</v>
      </c>
      <c r="O24" s="1108" t="s">
        <v>1257</v>
      </c>
      <c r="P24" s="1585"/>
      <c r="Q24" s="1108" t="s">
        <v>1257</v>
      </c>
      <c r="R24" s="1585"/>
      <c r="S24" s="1108" t="s">
        <v>1257</v>
      </c>
      <c r="T24" s="1585"/>
      <c r="U24" s="1108" t="s">
        <v>1257</v>
      </c>
      <c r="V24" s="1585"/>
    </row>
    <row r="25" spans="2:22" ht="33.75">
      <c r="B25" s="106"/>
      <c r="C25" s="477"/>
      <c r="D25" s="1116" t="s">
        <v>2070</v>
      </c>
      <c r="E25" s="109" t="s">
        <v>14</v>
      </c>
      <c r="F25" s="1587"/>
      <c r="G25" s="1111">
        <v>75179937</v>
      </c>
      <c r="H25" s="109" t="s">
        <v>677</v>
      </c>
      <c r="I25" s="109" t="s">
        <v>677</v>
      </c>
      <c r="J25" s="109" t="s">
        <v>677</v>
      </c>
      <c r="K25" s="109" t="s">
        <v>677</v>
      </c>
      <c r="L25" s="109" t="s">
        <v>554</v>
      </c>
      <c r="M25" s="1112">
        <f t="shared" si="0"/>
        <v>6264994.75</v>
      </c>
      <c r="N25" s="1102" t="s">
        <v>2055</v>
      </c>
      <c r="O25" s="1108" t="s">
        <v>1257</v>
      </c>
      <c r="P25" s="1585"/>
      <c r="Q25" s="1108" t="s">
        <v>1257</v>
      </c>
      <c r="R25" s="1585"/>
      <c r="S25" s="1108" t="s">
        <v>1257</v>
      </c>
      <c r="T25" s="1585"/>
      <c r="U25" s="1108" t="s">
        <v>1257</v>
      </c>
      <c r="V25" s="1585"/>
    </row>
    <row r="26" spans="2:22" ht="33.75">
      <c r="B26" s="106"/>
      <c r="C26" s="477"/>
      <c r="D26" s="1116" t="s">
        <v>2071</v>
      </c>
      <c r="E26" s="109" t="s">
        <v>14</v>
      </c>
      <c r="F26" s="1587"/>
      <c r="G26" s="1111">
        <v>150359875</v>
      </c>
      <c r="H26" s="109" t="s">
        <v>677</v>
      </c>
      <c r="I26" s="109" t="s">
        <v>677</v>
      </c>
      <c r="J26" s="109" t="s">
        <v>677</v>
      </c>
      <c r="K26" s="109" t="s">
        <v>677</v>
      </c>
      <c r="L26" s="109" t="s">
        <v>554</v>
      </c>
      <c r="M26" s="1112">
        <f t="shared" si="0"/>
        <v>12529989.583333334</v>
      </c>
      <c r="N26" s="1102" t="s">
        <v>2055</v>
      </c>
      <c r="O26" s="1108" t="s">
        <v>1257</v>
      </c>
      <c r="P26" s="1585"/>
      <c r="Q26" s="1108" t="s">
        <v>1257</v>
      </c>
      <c r="R26" s="1585"/>
      <c r="S26" s="1108" t="s">
        <v>1257</v>
      </c>
      <c r="T26" s="1585"/>
      <c r="U26" s="1108" t="s">
        <v>1257</v>
      </c>
      <c r="V26" s="1585"/>
    </row>
    <row r="27" spans="2:22" ht="33.75">
      <c r="B27" s="106"/>
      <c r="C27" s="477"/>
      <c r="D27" s="1116" t="s">
        <v>2072</v>
      </c>
      <c r="E27" s="109" t="s">
        <v>14</v>
      </c>
      <c r="F27" s="1587"/>
      <c r="G27" s="1111">
        <v>258593284</v>
      </c>
      <c r="H27" s="109" t="s">
        <v>677</v>
      </c>
      <c r="I27" s="109" t="s">
        <v>677</v>
      </c>
      <c r="J27" s="109" t="s">
        <v>677</v>
      </c>
      <c r="K27" s="109" t="s">
        <v>677</v>
      </c>
      <c r="L27" s="109" t="s">
        <v>554</v>
      </c>
      <c r="M27" s="1112">
        <f t="shared" si="0"/>
        <v>21549440.333333332</v>
      </c>
      <c r="N27" s="1102" t="s">
        <v>2055</v>
      </c>
      <c r="O27" s="1108" t="s">
        <v>1257</v>
      </c>
      <c r="P27" s="1585"/>
      <c r="Q27" s="1108" t="s">
        <v>1257</v>
      </c>
      <c r="R27" s="1585"/>
      <c r="S27" s="1108" t="s">
        <v>1257</v>
      </c>
      <c r="T27" s="1585"/>
      <c r="U27" s="1108" t="s">
        <v>1257</v>
      </c>
      <c r="V27" s="1585"/>
    </row>
    <row r="28" spans="2:22" ht="33.75">
      <c r="B28" s="106"/>
      <c r="C28" s="477"/>
      <c r="D28" s="1116" t="s">
        <v>2073</v>
      </c>
      <c r="E28" s="109" t="s">
        <v>14</v>
      </c>
      <c r="F28" s="1587"/>
      <c r="G28" s="1111">
        <v>895019221</v>
      </c>
      <c r="H28" s="109" t="s">
        <v>677</v>
      </c>
      <c r="I28" s="109" t="s">
        <v>677</v>
      </c>
      <c r="J28" s="109" t="s">
        <v>677</v>
      </c>
      <c r="K28" s="109" t="s">
        <v>677</v>
      </c>
      <c r="L28" s="109" t="s">
        <v>554</v>
      </c>
      <c r="M28" s="1112">
        <f t="shared" si="0"/>
        <v>74584935.083333328</v>
      </c>
      <c r="N28" s="1102" t="s">
        <v>2055</v>
      </c>
      <c r="O28" s="1108" t="s">
        <v>1257</v>
      </c>
      <c r="P28" s="1585"/>
      <c r="Q28" s="1108" t="s">
        <v>1257</v>
      </c>
      <c r="R28" s="1585"/>
      <c r="S28" s="1108" t="s">
        <v>1257</v>
      </c>
      <c r="T28" s="1585"/>
      <c r="U28" s="1108" t="s">
        <v>1257</v>
      </c>
      <c r="V28" s="1585"/>
    </row>
    <row r="29" spans="2:22" ht="33.75">
      <c r="B29" s="106"/>
      <c r="C29" s="477"/>
      <c r="D29" s="1116" t="s">
        <v>2074</v>
      </c>
      <c r="E29" s="109" t="s">
        <v>14</v>
      </c>
      <c r="F29" s="1587"/>
      <c r="G29" s="1111">
        <v>407586251</v>
      </c>
      <c r="H29" s="109" t="s">
        <v>677</v>
      </c>
      <c r="I29" s="109" t="s">
        <v>677</v>
      </c>
      <c r="J29" s="109" t="s">
        <v>677</v>
      </c>
      <c r="K29" s="109" t="s">
        <v>677</v>
      </c>
      <c r="L29" s="109" t="s">
        <v>554</v>
      </c>
      <c r="M29" s="1112">
        <f t="shared" si="0"/>
        <v>33965520.916666664</v>
      </c>
      <c r="N29" s="1102" t="s">
        <v>2055</v>
      </c>
      <c r="O29" s="1108" t="s">
        <v>1257</v>
      </c>
      <c r="P29" s="1585"/>
      <c r="Q29" s="1108" t="s">
        <v>1257</v>
      </c>
      <c r="R29" s="1585"/>
      <c r="S29" s="1108" t="s">
        <v>1257</v>
      </c>
      <c r="T29" s="1585"/>
      <c r="U29" s="1108" t="s">
        <v>1257</v>
      </c>
      <c r="V29" s="1585"/>
    </row>
    <row r="30" spans="2:22" ht="33.75">
      <c r="B30" s="106"/>
      <c r="C30" s="477"/>
      <c r="D30" s="1116" t="s">
        <v>2075</v>
      </c>
      <c r="E30" s="109" t="s">
        <v>14</v>
      </c>
      <c r="F30" s="1587"/>
      <c r="G30" s="1111">
        <v>75179937</v>
      </c>
      <c r="H30" s="109" t="s">
        <v>677</v>
      </c>
      <c r="I30" s="109" t="s">
        <v>677</v>
      </c>
      <c r="J30" s="109" t="s">
        <v>677</v>
      </c>
      <c r="K30" s="109" t="s">
        <v>677</v>
      </c>
      <c r="L30" s="109" t="s">
        <v>554</v>
      </c>
      <c r="M30" s="1112">
        <f t="shared" si="0"/>
        <v>6264994.75</v>
      </c>
      <c r="N30" s="1102" t="s">
        <v>2055</v>
      </c>
      <c r="O30" s="1108" t="s">
        <v>1257</v>
      </c>
      <c r="P30" s="1585"/>
      <c r="Q30" s="1108" t="s">
        <v>1257</v>
      </c>
      <c r="R30" s="1585"/>
      <c r="S30" s="1108" t="s">
        <v>1257</v>
      </c>
      <c r="T30" s="1585"/>
      <c r="U30" s="1108" t="s">
        <v>1257</v>
      </c>
      <c r="V30" s="1585"/>
    </row>
    <row r="31" spans="2:22" ht="33.75">
      <c r="B31" s="106"/>
      <c r="C31" s="477"/>
      <c r="D31" s="1116" t="s">
        <v>2076</v>
      </c>
      <c r="E31" s="109" t="s">
        <v>14</v>
      </c>
      <c r="F31" s="1587"/>
      <c r="G31" s="1111">
        <v>75179937</v>
      </c>
      <c r="H31" s="109" t="s">
        <v>677</v>
      </c>
      <c r="I31" s="109" t="s">
        <v>677</v>
      </c>
      <c r="J31" s="109" t="s">
        <v>677</v>
      </c>
      <c r="K31" s="109" t="s">
        <v>677</v>
      </c>
      <c r="L31" s="109" t="s">
        <v>554</v>
      </c>
      <c r="M31" s="1112">
        <f t="shared" si="0"/>
        <v>6264994.75</v>
      </c>
      <c r="N31" s="1102" t="s">
        <v>2055</v>
      </c>
      <c r="O31" s="1108" t="s">
        <v>1257</v>
      </c>
      <c r="P31" s="1585"/>
      <c r="Q31" s="1108" t="s">
        <v>1257</v>
      </c>
      <c r="R31" s="1585"/>
      <c r="S31" s="1108" t="s">
        <v>1257</v>
      </c>
      <c r="T31" s="1585"/>
      <c r="U31" s="1108" t="s">
        <v>1257</v>
      </c>
      <c r="V31" s="1585"/>
    </row>
    <row r="32" spans="2:22" ht="33.75">
      <c r="B32" s="106"/>
      <c r="C32" s="477"/>
      <c r="D32" s="1116" t="s">
        <v>2077</v>
      </c>
      <c r="E32" s="109" t="s">
        <v>14</v>
      </c>
      <c r="F32" s="1587"/>
      <c r="G32" s="1111">
        <v>75179937</v>
      </c>
      <c r="H32" s="109" t="s">
        <v>677</v>
      </c>
      <c r="I32" s="109" t="s">
        <v>677</v>
      </c>
      <c r="J32" s="109" t="s">
        <v>677</v>
      </c>
      <c r="K32" s="109" t="s">
        <v>677</v>
      </c>
      <c r="L32" s="109" t="s">
        <v>554</v>
      </c>
      <c r="M32" s="1112">
        <f t="shared" si="0"/>
        <v>6264994.75</v>
      </c>
      <c r="N32" s="1102" t="s">
        <v>2055</v>
      </c>
      <c r="O32" s="1108" t="s">
        <v>1257</v>
      </c>
      <c r="P32" s="1585"/>
      <c r="Q32" s="1108" t="s">
        <v>1257</v>
      </c>
      <c r="R32" s="1585"/>
      <c r="S32" s="1108" t="s">
        <v>1257</v>
      </c>
      <c r="T32" s="1585"/>
      <c r="U32" s="1108" t="s">
        <v>1257</v>
      </c>
      <c r="V32" s="1585"/>
    </row>
    <row r="33" spans="2:22" ht="33.75">
      <c r="B33" s="106"/>
      <c r="C33" s="477"/>
      <c r="D33" s="1114" t="s">
        <v>274</v>
      </c>
      <c r="E33" s="109" t="s">
        <v>14</v>
      </c>
      <c r="F33" s="1587"/>
      <c r="G33" s="1117">
        <f>374818082+1499272</f>
        <v>376317354</v>
      </c>
      <c r="H33" s="109" t="s">
        <v>677</v>
      </c>
      <c r="I33" s="109" t="s">
        <v>677</v>
      </c>
      <c r="J33" s="109" t="s">
        <v>677</v>
      </c>
      <c r="K33" s="109" t="s">
        <v>677</v>
      </c>
      <c r="L33" s="109" t="s">
        <v>554</v>
      </c>
      <c r="M33" s="1112">
        <f t="shared" si="0"/>
        <v>31359779.5</v>
      </c>
      <c r="N33" s="1102" t="s">
        <v>2055</v>
      </c>
      <c r="O33" s="1108" t="s">
        <v>1257</v>
      </c>
      <c r="P33" s="1585"/>
      <c r="Q33" s="1108" t="s">
        <v>1257</v>
      </c>
      <c r="R33" s="1585"/>
      <c r="S33" s="1108" t="s">
        <v>1257</v>
      </c>
      <c r="T33" s="1585"/>
      <c r="U33" s="1108" t="s">
        <v>1257</v>
      </c>
      <c r="V33" s="1585"/>
    </row>
    <row r="34" spans="2:22" ht="33.75">
      <c r="B34" s="106"/>
      <c r="C34" s="477"/>
      <c r="D34" s="1116" t="s">
        <v>2078</v>
      </c>
      <c r="E34" s="109" t="s">
        <v>14</v>
      </c>
      <c r="F34" s="1587"/>
      <c r="G34" s="1111">
        <v>41521881</v>
      </c>
      <c r="H34" s="109" t="s">
        <v>677</v>
      </c>
      <c r="I34" s="109" t="s">
        <v>677</v>
      </c>
      <c r="J34" s="109" t="s">
        <v>677</v>
      </c>
      <c r="K34" s="109" t="s">
        <v>677</v>
      </c>
      <c r="L34" s="109" t="s">
        <v>554</v>
      </c>
      <c r="M34" s="1112">
        <f t="shared" si="0"/>
        <v>3460156.75</v>
      </c>
      <c r="N34" s="1102" t="s">
        <v>2055</v>
      </c>
      <c r="O34" s="1108" t="s">
        <v>1257</v>
      </c>
      <c r="P34" s="1585"/>
      <c r="Q34" s="1108" t="s">
        <v>1257</v>
      </c>
      <c r="R34" s="1585"/>
      <c r="S34" s="1108" t="s">
        <v>1257</v>
      </c>
      <c r="T34" s="1585"/>
      <c r="U34" s="1108" t="s">
        <v>1257</v>
      </c>
      <c r="V34" s="1585"/>
    </row>
    <row r="35" spans="2:22" ht="33.75">
      <c r="B35" s="106"/>
      <c r="C35" s="477"/>
      <c r="D35" s="1116" t="s">
        <v>2079</v>
      </c>
      <c r="E35" s="109" t="s">
        <v>14</v>
      </c>
      <c r="F35" s="1587"/>
      <c r="G35" s="1111">
        <v>75179937</v>
      </c>
      <c r="H35" s="109" t="s">
        <v>677</v>
      </c>
      <c r="I35" s="109" t="s">
        <v>677</v>
      </c>
      <c r="J35" s="109" t="s">
        <v>677</v>
      </c>
      <c r="K35" s="109" t="s">
        <v>677</v>
      </c>
      <c r="L35" s="109" t="s">
        <v>554</v>
      </c>
      <c r="M35" s="1112">
        <f t="shared" si="0"/>
        <v>6264994.75</v>
      </c>
      <c r="N35" s="1102" t="s">
        <v>2055</v>
      </c>
      <c r="O35" s="1108" t="s">
        <v>1257</v>
      </c>
      <c r="P35" s="1585"/>
      <c r="Q35" s="1108" t="s">
        <v>1257</v>
      </c>
      <c r="R35" s="1585"/>
      <c r="S35" s="1108" t="s">
        <v>1257</v>
      </c>
      <c r="T35" s="1585"/>
      <c r="U35" s="1108" t="s">
        <v>1257</v>
      </c>
      <c r="V35" s="1585"/>
    </row>
    <row r="36" spans="2:22" ht="33.75">
      <c r="B36" s="106"/>
      <c r="C36" s="477"/>
      <c r="D36" s="1116" t="s">
        <v>2080</v>
      </c>
      <c r="E36" s="109" t="s">
        <v>14</v>
      </c>
      <c r="F36" s="1587"/>
      <c r="G36" s="1111">
        <v>75179937</v>
      </c>
      <c r="H36" s="109" t="s">
        <v>677</v>
      </c>
      <c r="I36" s="109" t="s">
        <v>677</v>
      </c>
      <c r="J36" s="109" t="s">
        <v>677</v>
      </c>
      <c r="K36" s="109" t="s">
        <v>677</v>
      </c>
      <c r="L36" s="109" t="s">
        <v>554</v>
      </c>
      <c r="M36" s="1112">
        <f t="shared" si="0"/>
        <v>6264994.75</v>
      </c>
      <c r="N36" s="1102" t="s">
        <v>2055</v>
      </c>
      <c r="O36" s="1108" t="s">
        <v>1257</v>
      </c>
      <c r="P36" s="1585"/>
      <c r="Q36" s="1108" t="s">
        <v>1257</v>
      </c>
      <c r="R36" s="1585"/>
      <c r="S36" s="1108" t="s">
        <v>1257</v>
      </c>
      <c r="T36" s="1585"/>
      <c r="U36" s="1108" t="s">
        <v>1257</v>
      </c>
      <c r="V36" s="1585"/>
    </row>
    <row r="37" spans="2:22" ht="33.75">
      <c r="B37" s="106"/>
      <c r="C37" s="477"/>
      <c r="D37" s="1116" t="s">
        <v>2081</v>
      </c>
      <c r="E37" s="109" t="s">
        <v>14</v>
      </c>
      <c r="F37" s="1587"/>
      <c r="G37" s="1111">
        <v>150359875</v>
      </c>
      <c r="H37" s="109" t="s">
        <v>677</v>
      </c>
      <c r="I37" s="109" t="s">
        <v>677</v>
      </c>
      <c r="J37" s="109" t="s">
        <v>677</v>
      </c>
      <c r="K37" s="109" t="s">
        <v>677</v>
      </c>
      <c r="L37" s="109" t="s">
        <v>554</v>
      </c>
      <c r="M37" s="1112">
        <f t="shared" si="0"/>
        <v>12529989.583333334</v>
      </c>
      <c r="N37" s="1102" t="s">
        <v>2055</v>
      </c>
      <c r="O37" s="1108" t="s">
        <v>1257</v>
      </c>
      <c r="P37" s="1585"/>
      <c r="Q37" s="1108" t="s">
        <v>1257</v>
      </c>
      <c r="R37" s="1585"/>
      <c r="S37" s="1108" t="s">
        <v>1257</v>
      </c>
      <c r="T37" s="1585"/>
      <c r="U37" s="1108" t="s">
        <v>1257</v>
      </c>
      <c r="V37" s="1585"/>
    </row>
    <row r="38" spans="2:22" ht="33.75">
      <c r="B38" s="106"/>
      <c r="C38" s="477"/>
      <c r="D38" s="1116" t="s">
        <v>2082</v>
      </c>
      <c r="E38" s="109" t="s">
        <v>14</v>
      </c>
      <c r="F38" s="1587"/>
      <c r="G38" s="1111">
        <v>75179937</v>
      </c>
      <c r="H38" s="109" t="s">
        <v>677</v>
      </c>
      <c r="I38" s="109" t="s">
        <v>677</v>
      </c>
      <c r="J38" s="109" t="s">
        <v>677</v>
      </c>
      <c r="K38" s="109" t="s">
        <v>677</v>
      </c>
      <c r="L38" s="109" t="s">
        <v>554</v>
      </c>
      <c r="M38" s="1112">
        <f t="shared" si="0"/>
        <v>6264994.75</v>
      </c>
      <c r="N38" s="1102" t="s">
        <v>2055</v>
      </c>
      <c r="O38" s="1108" t="s">
        <v>1257</v>
      </c>
      <c r="P38" s="1585"/>
      <c r="Q38" s="1108" t="s">
        <v>1257</v>
      </c>
      <c r="R38" s="1585"/>
      <c r="S38" s="1108" t="s">
        <v>1257</v>
      </c>
      <c r="T38" s="1585"/>
      <c r="U38" s="1108" t="s">
        <v>1257</v>
      </c>
      <c r="V38" s="1585"/>
    </row>
    <row r="39" spans="2:22" ht="33.75">
      <c r="B39" s="106"/>
      <c r="C39" s="477"/>
      <c r="D39" s="1116" t="s">
        <v>2083</v>
      </c>
      <c r="E39" s="109" t="s">
        <v>14</v>
      </c>
      <c r="F39" s="1587"/>
      <c r="G39" s="1111">
        <v>75179937</v>
      </c>
      <c r="H39" s="109" t="s">
        <v>677</v>
      </c>
      <c r="I39" s="109" t="s">
        <v>677</v>
      </c>
      <c r="J39" s="109" t="s">
        <v>677</v>
      </c>
      <c r="K39" s="109" t="s">
        <v>677</v>
      </c>
      <c r="L39" s="109" t="s">
        <v>554</v>
      </c>
      <c r="M39" s="1112">
        <f t="shared" si="0"/>
        <v>6264994.75</v>
      </c>
      <c r="N39" s="1102" t="s">
        <v>2055</v>
      </c>
      <c r="O39" s="1108" t="s">
        <v>1257</v>
      </c>
      <c r="P39" s="1585"/>
      <c r="Q39" s="1108" t="s">
        <v>1257</v>
      </c>
      <c r="R39" s="1585"/>
      <c r="S39" s="1108" t="s">
        <v>1257</v>
      </c>
      <c r="T39" s="1585"/>
      <c r="U39" s="1108" t="s">
        <v>1257</v>
      </c>
      <c r="V39" s="1585"/>
    </row>
    <row r="40" spans="2:22" ht="33.75">
      <c r="B40" s="106"/>
      <c r="C40" s="477"/>
      <c r="D40" s="1116" t="s">
        <v>2084</v>
      </c>
      <c r="E40" s="109" t="s">
        <v>14</v>
      </c>
      <c r="F40" s="1587"/>
      <c r="G40" s="1111">
        <v>523910682</v>
      </c>
      <c r="H40" s="109" t="s">
        <v>677</v>
      </c>
      <c r="I40" s="109" t="s">
        <v>677</v>
      </c>
      <c r="J40" s="109" t="s">
        <v>677</v>
      </c>
      <c r="K40" s="109" t="s">
        <v>677</v>
      </c>
      <c r="L40" s="109" t="s">
        <v>554</v>
      </c>
      <c r="M40" s="1112">
        <f t="shared" si="0"/>
        <v>43659223.5</v>
      </c>
      <c r="N40" s="1102" t="s">
        <v>2055</v>
      </c>
      <c r="O40" s="1108" t="s">
        <v>1257</v>
      </c>
      <c r="P40" s="1585"/>
      <c r="Q40" s="1108" t="s">
        <v>1257</v>
      </c>
      <c r="R40" s="1585"/>
      <c r="S40" s="1108" t="s">
        <v>1257</v>
      </c>
      <c r="T40" s="1585"/>
      <c r="U40" s="1108" t="s">
        <v>1257</v>
      </c>
      <c r="V40" s="1585"/>
    </row>
    <row r="41" spans="2:22" ht="33.75">
      <c r="B41" s="106"/>
      <c r="C41" s="477"/>
      <c r="D41" s="1116" t="s">
        <v>2085</v>
      </c>
      <c r="E41" s="109" t="s">
        <v>14</v>
      </c>
      <c r="F41" s="1587"/>
      <c r="G41" s="1111">
        <v>75179937</v>
      </c>
      <c r="H41" s="109" t="s">
        <v>677</v>
      </c>
      <c r="I41" s="109" t="s">
        <v>677</v>
      </c>
      <c r="J41" s="109" t="s">
        <v>677</v>
      </c>
      <c r="K41" s="109" t="s">
        <v>677</v>
      </c>
      <c r="L41" s="109" t="s">
        <v>554</v>
      </c>
      <c r="M41" s="1112">
        <f t="shared" si="0"/>
        <v>6264994.75</v>
      </c>
      <c r="N41" s="1102" t="s">
        <v>2055</v>
      </c>
      <c r="O41" s="1108" t="s">
        <v>1257</v>
      </c>
      <c r="P41" s="1585"/>
      <c r="Q41" s="1108" t="s">
        <v>1257</v>
      </c>
      <c r="R41" s="1585"/>
      <c r="S41" s="1108" t="s">
        <v>1257</v>
      </c>
      <c r="T41" s="1585"/>
      <c r="U41" s="1108" t="s">
        <v>1257</v>
      </c>
      <c r="V41" s="1585"/>
    </row>
    <row r="42" spans="2:22" ht="33.75">
      <c r="B42" s="106"/>
      <c r="C42" s="477"/>
      <c r="D42" s="1116" t="s">
        <v>2086</v>
      </c>
      <c r="E42" s="109" t="s">
        <v>14</v>
      </c>
      <c r="F42" s="1587"/>
      <c r="G42" s="1111">
        <v>75179937</v>
      </c>
      <c r="H42" s="109" t="s">
        <v>677</v>
      </c>
      <c r="I42" s="109" t="s">
        <v>677</v>
      </c>
      <c r="J42" s="109" t="s">
        <v>677</v>
      </c>
      <c r="K42" s="109" t="s">
        <v>677</v>
      </c>
      <c r="L42" s="109" t="s">
        <v>554</v>
      </c>
      <c r="M42" s="1112">
        <f t="shared" si="0"/>
        <v>6264994.75</v>
      </c>
      <c r="N42" s="1102" t="s">
        <v>2055</v>
      </c>
      <c r="O42" s="1108" t="s">
        <v>1257</v>
      </c>
      <c r="P42" s="1585"/>
      <c r="Q42" s="1108" t="s">
        <v>1257</v>
      </c>
      <c r="R42" s="1585"/>
      <c r="S42" s="1108" t="s">
        <v>1257</v>
      </c>
      <c r="T42" s="1585"/>
      <c r="U42" s="1108" t="s">
        <v>1257</v>
      </c>
      <c r="V42" s="1585"/>
    </row>
    <row r="43" spans="2:22" ht="33.75">
      <c r="B43" s="106"/>
      <c r="C43" s="477"/>
      <c r="D43" s="1116" t="s">
        <v>2087</v>
      </c>
      <c r="E43" s="109" t="s">
        <v>14</v>
      </c>
      <c r="F43" s="1587"/>
      <c r="G43" s="1111">
        <v>75179937</v>
      </c>
      <c r="H43" s="109" t="s">
        <v>677</v>
      </c>
      <c r="I43" s="109" t="s">
        <v>677</v>
      </c>
      <c r="J43" s="109" t="s">
        <v>677</v>
      </c>
      <c r="K43" s="109" t="s">
        <v>677</v>
      </c>
      <c r="L43" s="109" t="s">
        <v>554</v>
      </c>
      <c r="M43" s="1112">
        <f t="shared" si="0"/>
        <v>6264994.75</v>
      </c>
      <c r="N43" s="1102" t="s">
        <v>2055</v>
      </c>
      <c r="O43" s="1108" t="s">
        <v>1257</v>
      </c>
      <c r="P43" s="1585"/>
      <c r="Q43" s="1108" t="s">
        <v>1257</v>
      </c>
      <c r="R43" s="1585"/>
      <c r="S43" s="1108" t="s">
        <v>1257</v>
      </c>
      <c r="T43" s="1585"/>
      <c r="U43" s="1108" t="s">
        <v>1257</v>
      </c>
      <c r="V43" s="1585"/>
    </row>
    <row r="44" spans="2:22" ht="33.75">
      <c r="B44" s="106"/>
      <c r="C44" s="477"/>
      <c r="D44" s="1116" t="s">
        <v>2088</v>
      </c>
      <c r="E44" s="109" t="s">
        <v>14</v>
      </c>
      <c r="F44" s="1587"/>
      <c r="G44" s="1111">
        <v>75179937</v>
      </c>
      <c r="H44" s="109" t="s">
        <v>677</v>
      </c>
      <c r="I44" s="109" t="s">
        <v>677</v>
      </c>
      <c r="J44" s="109" t="s">
        <v>677</v>
      </c>
      <c r="K44" s="109" t="s">
        <v>677</v>
      </c>
      <c r="L44" s="109" t="s">
        <v>554</v>
      </c>
      <c r="M44" s="1112">
        <f t="shared" si="0"/>
        <v>6264994.75</v>
      </c>
      <c r="N44" s="1102" t="s">
        <v>2055</v>
      </c>
      <c r="O44" s="1108" t="s">
        <v>1257</v>
      </c>
      <c r="P44" s="1585"/>
      <c r="Q44" s="1108" t="s">
        <v>1257</v>
      </c>
      <c r="R44" s="1585"/>
      <c r="S44" s="1108" t="s">
        <v>1257</v>
      </c>
      <c r="T44" s="1585"/>
      <c r="U44" s="1108" t="s">
        <v>1257</v>
      </c>
      <c r="V44" s="1585"/>
    </row>
    <row r="45" spans="2:22" ht="33.75">
      <c r="B45" s="106"/>
      <c r="C45" s="477"/>
      <c r="D45" s="1116" t="s">
        <v>2089</v>
      </c>
      <c r="E45" s="109" t="s">
        <v>14</v>
      </c>
      <c r="F45" s="1587"/>
      <c r="G45" s="1111">
        <v>75179937</v>
      </c>
      <c r="H45" s="109" t="s">
        <v>677</v>
      </c>
      <c r="I45" s="109" t="s">
        <v>677</v>
      </c>
      <c r="J45" s="109" t="s">
        <v>677</v>
      </c>
      <c r="K45" s="109" t="s">
        <v>677</v>
      </c>
      <c r="L45" s="109" t="s">
        <v>554</v>
      </c>
      <c r="M45" s="1112">
        <f t="shared" si="0"/>
        <v>6264994.75</v>
      </c>
      <c r="N45" s="1102" t="s">
        <v>2055</v>
      </c>
      <c r="O45" s="1108" t="s">
        <v>1257</v>
      </c>
      <c r="P45" s="1585"/>
      <c r="Q45" s="1108" t="s">
        <v>1257</v>
      </c>
      <c r="R45" s="1585"/>
      <c r="S45" s="1108" t="s">
        <v>1257</v>
      </c>
      <c r="T45" s="1585"/>
      <c r="U45" s="1108" t="s">
        <v>1257</v>
      </c>
      <c r="V45" s="1585"/>
    </row>
    <row r="46" spans="2:22" ht="33.75">
      <c r="B46" s="106"/>
      <c r="C46" s="477"/>
      <c r="D46" s="1116" t="s">
        <v>2090</v>
      </c>
      <c r="E46" s="109" t="s">
        <v>14</v>
      </c>
      <c r="F46" s="1587"/>
      <c r="G46" s="1111">
        <v>625419977</v>
      </c>
      <c r="H46" s="109" t="s">
        <v>677</v>
      </c>
      <c r="I46" s="109" t="s">
        <v>677</v>
      </c>
      <c r="J46" s="109" t="s">
        <v>677</v>
      </c>
      <c r="K46" s="109" t="s">
        <v>677</v>
      </c>
      <c r="L46" s="109" t="s">
        <v>554</v>
      </c>
      <c r="M46" s="1112">
        <f t="shared" si="0"/>
        <v>52118331.416666664</v>
      </c>
      <c r="N46" s="1102" t="s">
        <v>2055</v>
      </c>
      <c r="O46" s="1108" t="s">
        <v>1257</v>
      </c>
      <c r="P46" s="1585"/>
      <c r="Q46" s="1108" t="s">
        <v>1257</v>
      </c>
      <c r="R46" s="1585"/>
      <c r="S46" s="1108" t="s">
        <v>1257</v>
      </c>
      <c r="T46" s="1585"/>
      <c r="U46" s="1108" t="s">
        <v>1257</v>
      </c>
      <c r="V46" s="1585"/>
    </row>
    <row r="47" spans="2:22" ht="33.75">
      <c r="B47" s="106"/>
      <c r="C47" s="477"/>
      <c r="D47" s="1116" t="s">
        <v>2091</v>
      </c>
      <c r="E47" s="109" t="s">
        <v>14</v>
      </c>
      <c r="F47" s="1587"/>
      <c r="G47" s="1111">
        <v>148992967</v>
      </c>
      <c r="H47" s="109" t="s">
        <v>677</v>
      </c>
      <c r="I47" s="109" t="s">
        <v>677</v>
      </c>
      <c r="J47" s="109" t="s">
        <v>677</v>
      </c>
      <c r="K47" s="109" t="s">
        <v>677</v>
      </c>
      <c r="L47" s="109" t="s">
        <v>554</v>
      </c>
      <c r="M47" s="1112">
        <f t="shared" si="0"/>
        <v>12416080.583333334</v>
      </c>
      <c r="N47" s="1102" t="s">
        <v>2055</v>
      </c>
      <c r="O47" s="1108" t="s">
        <v>1257</v>
      </c>
      <c r="P47" s="1585"/>
      <c r="Q47" s="1108" t="s">
        <v>1257</v>
      </c>
      <c r="R47" s="1585"/>
      <c r="S47" s="1108" t="s">
        <v>1257</v>
      </c>
      <c r="T47" s="1585"/>
      <c r="U47" s="1108" t="s">
        <v>1257</v>
      </c>
      <c r="V47" s="1585"/>
    </row>
    <row r="48" spans="2:22" ht="33.75">
      <c r="B48" s="106"/>
      <c r="C48" s="477"/>
      <c r="D48" s="1116" t="s">
        <v>2092</v>
      </c>
      <c r="E48" s="109" t="s">
        <v>14</v>
      </c>
      <c r="F48" s="1587"/>
      <c r="G48" s="1111">
        <v>150359875</v>
      </c>
      <c r="H48" s="109" t="s">
        <v>677</v>
      </c>
      <c r="I48" s="109" t="s">
        <v>677</v>
      </c>
      <c r="J48" s="109" t="s">
        <v>677</v>
      </c>
      <c r="K48" s="109" t="s">
        <v>677</v>
      </c>
      <c r="L48" s="109" t="s">
        <v>554</v>
      </c>
      <c r="M48" s="1112">
        <f t="shared" si="0"/>
        <v>12529989.583333334</v>
      </c>
      <c r="N48" s="1102" t="s">
        <v>2055</v>
      </c>
      <c r="O48" s="1108" t="s">
        <v>1257</v>
      </c>
      <c r="P48" s="1585"/>
      <c r="Q48" s="1108" t="s">
        <v>1257</v>
      </c>
      <c r="R48" s="1585"/>
      <c r="S48" s="1108" t="s">
        <v>1257</v>
      </c>
      <c r="T48" s="1585"/>
      <c r="U48" s="1108" t="s">
        <v>1257</v>
      </c>
      <c r="V48" s="1585"/>
    </row>
    <row r="49" spans="2:22" ht="33.75">
      <c r="B49" s="106"/>
      <c r="C49" s="477"/>
      <c r="D49" s="1116" t="s">
        <v>2093</v>
      </c>
      <c r="E49" s="109" t="s">
        <v>14</v>
      </c>
      <c r="F49" s="1587"/>
      <c r="G49" s="1117">
        <f>1532600638+6130402</f>
        <v>1538731040</v>
      </c>
      <c r="H49" s="109" t="s">
        <v>677</v>
      </c>
      <c r="I49" s="109" t="s">
        <v>677</v>
      </c>
      <c r="J49" s="109" t="s">
        <v>677</v>
      </c>
      <c r="K49" s="109" t="s">
        <v>677</v>
      </c>
      <c r="L49" s="109" t="s">
        <v>554</v>
      </c>
      <c r="M49" s="1112">
        <f t="shared" si="0"/>
        <v>128227586.66666667</v>
      </c>
      <c r="N49" s="1102" t="s">
        <v>2055</v>
      </c>
      <c r="O49" s="1108" t="s">
        <v>1257</v>
      </c>
      <c r="P49" s="1585"/>
      <c r="Q49" s="1108" t="s">
        <v>1257</v>
      </c>
      <c r="R49" s="1585"/>
      <c r="S49" s="1108" t="s">
        <v>1257</v>
      </c>
      <c r="T49" s="1585"/>
      <c r="U49" s="1108" t="s">
        <v>1257</v>
      </c>
      <c r="V49" s="1585"/>
    </row>
    <row r="50" spans="2:22" ht="33.75">
      <c r="B50" s="106"/>
      <c r="C50" s="477"/>
      <c r="D50" s="1116" t="s">
        <v>2094</v>
      </c>
      <c r="E50" s="109" t="s">
        <v>14</v>
      </c>
      <c r="F50" s="1587"/>
      <c r="G50" s="1111">
        <v>41521881</v>
      </c>
      <c r="H50" s="109" t="s">
        <v>677</v>
      </c>
      <c r="I50" s="109" t="s">
        <v>677</v>
      </c>
      <c r="J50" s="109" t="s">
        <v>677</v>
      </c>
      <c r="K50" s="109" t="s">
        <v>677</v>
      </c>
      <c r="L50" s="109" t="s">
        <v>554</v>
      </c>
      <c r="M50" s="1112">
        <f t="shared" si="0"/>
        <v>3460156.75</v>
      </c>
      <c r="N50" s="1102" t="s">
        <v>2055</v>
      </c>
      <c r="O50" s="1108" t="s">
        <v>1257</v>
      </c>
      <c r="P50" s="1585"/>
      <c r="Q50" s="1108" t="s">
        <v>1257</v>
      </c>
      <c r="R50" s="1585"/>
      <c r="S50" s="1108" t="s">
        <v>1257</v>
      </c>
      <c r="T50" s="1585"/>
      <c r="U50" s="1108" t="s">
        <v>1257</v>
      </c>
      <c r="V50" s="1585"/>
    </row>
    <row r="51" spans="2:22" ht="33.75">
      <c r="B51" s="106"/>
      <c r="C51" s="477"/>
      <c r="D51" s="1114" t="s">
        <v>263</v>
      </c>
      <c r="E51" s="109" t="s">
        <v>14</v>
      </c>
      <c r="F51" s="1587"/>
      <c r="G51" s="1117">
        <f>449698498+1798793</f>
        <v>451497291</v>
      </c>
      <c r="H51" s="109" t="s">
        <v>677</v>
      </c>
      <c r="I51" s="109" t="s">
        <v>677</v>
      </c>
      <c r="J51" s="109" t="s">
        <v>677</v>
      </c>
      <c r="K51" s="109" t="s">
        <v>677</v>
      </c>
      <c r="L51" s="109" t="s">
        <v>554</v>
      </c>
      <c r="M51" s="1112">
        <f t="shared" si="0"/>
        <v>37624774.25</v>
      </c>
      <c r="N51" s="1102" t="s">
        <v>2055</v>
      </c>
      <c r="O51" s="1108" t="s">
        <v>1257</v>
      </c>
      <c r="P51" s="1585"/>
      <c r="Q51" s="1108" t="s">
        <v>1257</v>
      </c>
      <c r="R51" s="1585"/>
      <c r="S51" s="1108" t="s">
        <v>1257</v>
      </c>
      <c r="T51" s="1585"/>
      <c r="U51" s="1108" t="s">
        <v>1257</v>
      </c>
      <c r="V51" s="1585"/>
    </row>
    <row r="52" spans="2:22" ht="33.75">
      <c r="B52" s="106"/>
      <c r="C52" s="477"/>
      <c r="D52" s="1116" t="s">
        <v>2095</v>
      </c>
      <c r="E52" s="109" t="s">
        <v>14</v>
      </c>
      <c r="F52" s="1587"/>
      <c r="G52" s="1111">
        <v>75179937</v>
      </c>
      <c r="H52" s="109" t="s">
        <v>677</v>
      </c>
      <c r="I52" s="109" t="s">
        <v>677</v>
      </c>
      <c r="J52" s="109" t="s">
        <v>677</v>
      </c>
      <c r="K52" s="109" t="s">
        <v>677</v>
      </c>
      <c r="L52" s="109" t="s">
        <v>554</v>
      </c>
      <c r="M52" s="1112">
        <f t="shared" si="0"/>
        <v>6264994.75</v>
      </c>
      <c r="N52" s="1102" t="s">
        <v>2055</v>
      </c>
      <c r="O52" s="1108" t="s">
        <v>1257</v>
      </c>
      <c r="P52" s="1585"/>
      <c r="Q52" s="1108" t="s">
        <v>1257</v>
      </c>
      <c r="R52" s="1585"/>
      <c r="S52" s="1108" t="s">
        <v>1257</v>
      </c>
      <c r="T52" s="1585"/>
      <c r="U52" s="1108" t="s">
        <v>1257</v>
      </c>
      <c r="V52" s="1585"/>
    </row>
    <row r="53" spans="2:22" ht="33.75">
      <c r="B53" s="106"/>
      <c r="C53" s="477"/>
      <c r="D53" s="1116" t="s">
        <v>2096</v>
      </c>
      <c r="E53" s="109" t="s">
        <v>14</v>
      </c>
      <c r="F53" s="1587"/>
      <c r="G53" s="1111">
        <v>75179937</v>
      </c>
      <c r="H53" s="109" t="s">
        <v>677</v>
      </c>
      <c r="I53" s="109" t="s">
        <v>677</v>
      </c>
      <c r="J53" s="109" t="s">
        <v>677</v>
      </c>
      <c r="K53" s="109" t="s">
        <v>677</v>
      </c>
      <c r="L53" s="109" t="s">
        <v>554</v>
      </c>
      <c r="M53" s="1112">
        <f t="shared" si="0"/>
        <v>6264994.75</v>
      </c>
      <c r="N53" s="1102" t="s">
        <v>2055</v>
      </c>
      <c r="O53" s="1108" t="s">
        <v>1257</v>
      </c>
      <c r="P53" s="1585"/>
      <c r="Q53" s="1108" t="s">
        <v>1257</v>
      </c>
      <c r="R53" s="1585"/>
      <c r="S53" s="1108" t="s">
        <v>1257</v>
      </c>
      <c r="T53" s="1585"/>
      <c r="U53" s="1108" t="s">
        <v>1257</v>
      </c>
      <c r="V53" s="1585"/>
    </row>
    <row r="54" spans="2:22" ht="33.75">
      <c r="B54" s="106"/>
      <c r="C54" s="477"/>
      <c r="D54" s="1116" t="s">
        <v>2097</v>
      </c>
      <c r="E54" s="109" t="s">
        <v>14</v>
      </c>
      <c r="F54" s="1587"/>
      <c r="G54" s="1111">
        <v>75179937</v>
      </c>
      <c r="H54" s="109" t="s">
        <v>677</v>
      </c>
      <c r="I54" s="109" t="s">
        <v>677</v>
      </c>
      <c r="J54" s="109" t="s">
        <v>677</v>
      </c>
      <c r="K54" s="109" t="s">
        <v>677</v>
      </c>
      <c r="L54" s="109" t="s">
        <v>554</v>
      </c>
      <c r="M54" s="1112">
        <f t="shared" si="0"/>
        <v>6264994.75</v>
      </c>
      <c r="N54" s="1102" t="s">
        <v>2055</v>
      </c>
      <c r="O54" s="1108" t="s">
        <v>1257</v>
      </c>
      <c r="P54" s="1585"/>
      <c r="Q54" s="1108" t="s">
        <v>1257</v>
      </c>
      <c r="R54" s="1585"/>
      <c r="S54" s="1108" t="s">
        <v>1257</v>
      </c>
      <c r="T54" s="1585"/>
      <c r="U54" s="1108" t="s">
        <v>1257</v>
      </c>
      <c r="V54" s="1585"/>
    </row>
    <row r="55" spans="2:22" ht="33.75">
      <c r="B55" s="106"/>
      <c r="C55" s="477"/>
      <c r="D55" s="1116" t="s">
        <v>2098</v>
      </c>
      <c r="E55" s="109" t="s">
        <v>14</v>
      </c>
      <c r="F55" s="1587"/>
      <c r="G55" s="1111">
        <v>75179937</v>
      </c>
      <c r="H55" s="109" t="s">
        <v>677</v>
      </c>
      <c r="I55" s="109" t="s">
        <v>677</v>
      </c>
      <c r="J55" s="109" t="s">
        <v>677</v>
      </c>
      <c r="K55" s="109" t="s">
        <v>677</v>
      </c>
      <c r="L55" s="109" t="s">
        <v>554</v>
      </c>
      <c r="M55" s="1112">
        <f t="shared" si="0"/>
        <v>6264994.75</v>
      </c>
      <c r="N55" s="1102" t="s">
        <v>2055</v>
      </c>
      <c r="O55" s="1108" t="s">
        <v>1257</v>
      </c>
      <c r="P55" s="1585"/>
      <c r="Q55" s="1108" t="s">
        <v>1257</v>
      </c>
      <c r="R55" s="1585"/>
      <c r="S55" s="1108" t="s">
        <v>1257</v>
      </c>
      <c r="T55" s="1585"/>
      <c r="U55" s="1108" t="s">
        <v>1257</v>
      </c>
      <c r="V55" s="1585"/>
    </row>
    <row r="56" spans="2:22" ht="33.75">
      <c r="B56" s="106"/>
      <c r="C56" s="477"/>
      <c r="D56" s="1116" t="s">
        <v>2099</v>
      </c>
      <c r="E56" s="109" t="s">
        <v>14</v>
      </c>
      <c r="F56" s="1587"/>
      <c r="G56" s="1111">
        <v>75179936</v>
      </c>
      <c r="H56" s="109" t="s">
        <v>677</v>
      </c>
      <c r="I56" s="109" t="s">
        <v>677</v>
      </c>
      <c r="J56" s="109" t="s">
        <v>677</v>
      </c>
      <c r="K56" s="109" t="s">
        <v>677</v>
      </c>
      <c r="L56" s="109" t="s">
        <v>554</v>
      </c>
      <c r="M56" s="1112">
        <f t="shared" si="0"/>
        <v>6264994.666666667</v>
      </c>
      <c r="N56" s="1102" t="s">
        <v>2055</v>
      </c>
      <c r="O56" s="1108" t="s">
        <v>1257</v>
      </c>
      <c r="P56" s="1585"/>
      <c r="Q56" s="1108" t="s">
        <v>1257</v>
      </c>
      <c r="R56" s="1585"/>
      <c r="S56" s="1108" t="s">
        <v>1257</v>
      </c>
      <c r="T56" s="1585"/>
      <c r="U56" s="1108" t="s">
        <v>1257</v>
      </c>
      <c r="V56" s="1585"/>
    </row>
    <row r="57" spans="2:22" ht="33.75">
      <c r="B57" s="106"/>
      <c r="C57" s="477"/>
      <c r="D57" s="1116" t="s">
        <v>2100</v>
      </c>
      <c r="E57" s="109" t="s">
        <v>14</v>
      </c>
      <c r="F57" s="1587"/>
      <c r="G57" s="1111">
        <v>108233408</v>
      </c>
      <c r="H57" s="109" t="s">
        <v>677</v>
      </c>
      <c r="I57" s="109" t="s">
        <v>677</v>
      </c>
      <c r="J57" s="109" t="s">
        <v>677</v>
      </c>
      <c r="K57" s="109" t="s">
        <v>677</v>
      </c>
      <c r="L57" s="109" t="s">
        <v>554</v>
      </c>
      <c r="M57" s="1112">
        <f t="shared" si="0"/>
        <v>9019450.666666666</v>
      </c>
      <c r="N57" s="1102" t="s">
        <v>2055</v>
      </c>
      <c r="O57" s="1108" t="s">
        <v>1257</v>
      </c>
      <c r="P57" s="1585"/>
      <c r="Q57" s="1108" t="s">
        <v>1257</v>
      </c>
      <c r="R57" s="1585"/>
      <c r="S57" s="1108" t="s">
        <v>1257</v>
      </c>
      <c r="T57" s="1585"/>
      <c r="U57" s="1108" t="s">
        <v>1257</v>
      </c>
      <c r="V57" s="1585"/>
    </row>
    <row r="58" spans="2:22" ht="33.75">
      <c r="B58" s="106"/>
      <c r="C58" s="477"/>
      <c r="D58" s="1116" t="s">
        <v>2101</v>
      </c>
      <c r="E58" s="109" t="s">
        <v>14</v>
      </c>
      <c r="F58" s="1587"/>
      <c r="G58" s="1111">
        <v>75179937</v>
      </c>
      <c r="H58" s="109" t="s">
        <v>677</v>
      </c>
      <c r="I58" s="109" t="s">
        <v>677</v>
      </c>
      <c r="J58" s="109" t="s">
        <v>677</v>
      </c>
      <c r="K58" s="109" t="s">
        <v>677</v>
      </c>
      <c r="L58" s="109" t="s">
        <v>554</v>
      </c>
      <c r="M58" s="1112">
        <f t="shared" si="0"/>
        <v>6264994.75</v>
      </c>
      <c r="N58" s="1102" t="s">
        <v>2055</v>
      </c>
      <c r="O58" s="1108" t="s">
        <v>1257</v>
      </c>
      <c r="P58" s="1585"/>
      <c r="Q58" s="1108" t="s">
        <v>1257</v>
      </c>
      <c r="R58" s="1585"/>
      <c r="S58" s="1108" t="s">
        <v>1257</v>
      </c>
      <c r="T58" s="1585"/>
      <c r="U58" s="1108" t="s">
        <v>1257</v>
      </c>
      <c r="V58" s="1585"/>
    </row>
    <row r="59" spans="2:22" ht="33.75">
      <c r="B59" s="106"/>
      <c r="C59" s="477"/>
      <c r="D59" s="1116" t="s">
        <v>2102</v>
      </c>
      <c r="E59" s="109" t="s">
        <v>14</v>
      </c>
      <c r="F59" s="1587"/>
      <c r="G59" s="1111">
        <v>75179937</v>
      </c>
      <c r="H59" s="109" t="s">
        <v>677</v>
      </c>
      <c r="I59" s="109" t="s">
        <v>677</v>
      </c>
      <c r="J59" s="109" t="s">
        <v>677</v>
      </c>
      <c r="K59" s="109" t="s">
        <v>677</v>
      </c>
      <c r="L59" s="109" t="s">
        <v>554</v>
      </c>
      <c r="M59" s="1112">
        <f t="shared" si="0"/>
        <v>6264994.75</v>
      </c>
      <c r="N59" s="1102" t="s">
        <v>2055</v>
      </c>
      <c r="O59" s="1108" t="s">
        <v>1257</v>
      </c>
      <c r="P59" s="1585"/>
      <c r="Q59" s="1108" t="s">
        <v>1257</v>
      </c>
      <c r="R59" s="1585"/>
      <c r="S59" s="1108" t="s">
        <v>1257</v>
      </c>
      <c r="T59" s="1585"/>
      <c r="U59" s="1108" t="s">
        <v>1257</v>
      </c>
      <c r="V59" s="1585"/>
    </row>
    <row r="60" spans="2:22" ht="33.75">
      <c r="B60" s="106"/>
      <c r="C60" s="477"/>
      <c r="D60" s="1116" t="s">
        <v>2103</v>
      </c>
      <c r="E60" s="109" t="s">
        <v>14</v>
      </c>
      <c r="F60" s="1587"/>
      <c r="G60" s="1111">
        <v>108233408</v>
      </c>
      <c r="H60" s="109" t="s">
        <v>677</v>
      </c>
      <c r="I60" s="109" t="s">
        <v>677</v>
      </c>
      <c r="J60" s="109" t="s">
        <v>677</v>
      </c>
      <c r="K60" s="109" t="s">
        <v>677</v>
      </c>
      <c r="L60" s="109" t="s">
        <v>554</v>
      </c>
      <c r="M60" s="1112">
        <f t="shared" si="0"/>
        <v>9019450.666666666</v>
      </c>
      <c r="N60" s="1102" t="s">
        <v>2055</v>
      </c>
      <c r="O60" s="1108" t="s">
        <v>1257</v>
      </c>
      <c r="P60" s="1585"/>
      <c r="Q60" s="1108" t="s">
        <v>1257</v>
      </c>
      <c r="R60" s="1585"/>
      <c r="S60" s="1108" t="s">
        <v>1257</v>
      </c>
      <c r="T60" s="1585"/>
      <c r="U60" s="1108" t="s">
        <v>1257</v>
      </c>
      <c r="V60" s="1585"/>
    </row>
    <row r="61" spans="2:22" ht="33.75">
      <c r="B61" s="106"/>
      <c r="C61" s="477"/>
      <c r="D61" s="1116" t="s">
        <v>2104</v>
      </c>
      <c r="E61" s="109" t="s">
        <v>14</v>
      </c>
      <c r="F61" s="1587"/>
      <c r="G61" s="1111">
        <v>148992967</v>
      </c>
      <c r="H61" s="109" t="s">
        <v>677</v>
      </c>
      <c r="I61" s="109" t="s">
        <v>677</v>
      </c>
      <c r="J61" s="109" t="s">
        <v>677</v>
      </c>
      <c r="K61" s="109" t="s">
        <v>677</v>
      </c>
      <c r="L61" s="109" t="s">
        <v>554</v>
      </c>
      <c r="M61" s="1112">
        <f t="shared" si="0"/>
        <v>12416080.583333334</v>
      </c>
      <c r="N61" s="1102" t="s">
        <v>2055</v>
      </c>
      <c r="O61" s="1108" t="s">
        <v>1257</v>
      </c>
      <c r="P61" s="1585"/>
      <c r="Q61" s="1108" t="s">
        <v>1257</v>
      </c>
      <c r="R61" s="1585"/>
      <c r="S61" s="1108" t="s">
        <v>1257</v>
      </c>
      <c r="T61" s="1585"/>
      <c r="U61" s="1108" t="s">
        <v>1257</v>
      </c>
      <c r="V61" s="1585"/>
    </row>
    <row r="62" spans="2:22" ht="33.75">
      <c r="B62" s="106"/>
      <c r="C62" s="477"/>
      <c r="D62" s="1116" t="s">
        <v>2105</v>
      </c>
      <c r="E62" s="109" t="s">
        <v>14</v>
      </c>
      <c r="F62" s="1587"/>
      <c r="G62" s="1111">
        <v>75179937</v>
      </c>
      <c r="H62" s="109" t="s">
        <v>677</v>
      </c>
      <c r="I62" s="109" t="s">
        <v>677</v>
      </c>
      <c r="J62" s="109" t="s">
        <v>677</v>
      </c>
      <c r="K62" s="109" t="s">
        <v>677</v>
      </c>
      <c r="L62" s="109" t="s">
        <v>554</v>
      </c>
      <c r="M62" s="1112">
        <f t="shared" si="0"/>
        <v>6264994.75</v>
      </c>
      <c r="N62" s="1102" t="s">
        <v>2055</v>
      </c>
      <c r="O62" s="1108" t="s">
        <v>1257</v>
      </c>
      <c r="P62" s="1585"/>
      <c r="Q62" s="1108" t="s">
        <v>1257</v>
      </c>
      <c r="R62" s="1585"/>
      <c r="S62" s="1108" t="s">
        <v>1257</v>
      </c>
      <c r="T62" s="1585"/>
      <c r="U62" s="1108" t="s">
        <v>1257</v>
      </c>
      <c r="V62" s="1585"/>
    </row>
    <row r="63" spans="2:22" ht="33.75">
      <c r="B63" s="106"/>
      <c r="C63" s="477"/>
      <c r="D63" s="1116" t="s">
        <v>2106</v>
      </c>
      <c r="E63" s="109" t="s">
        <v>14</v>
      </c>
      <c r="F63" s="1587"/>
      <c r="G63" s="1111">
        <v>148992967</v>
      </c>
      <c r="H63" s="109" t="s">
        <v>677</v>
      </c>
      <c r="I63" s="109" t="s">
        <v>677</v>
      </c>
      <c r="J63" s="109" t="s">
        <v>677</v>
      </c>
      <c r="K63" s="109" t="s">
        <v>677</v>
      </c>
      <c r="L63" s="109" t="s">
        <v>554</v>
      </c>
      <c r="M63" s="1112">
        <f t="shared" si="0"/>
        <v>12416080.583333334</v>
      </c>
      <c r="N63" s="1102" t="s">
        <v>2055</v>
      </c>
      <c r="O63" s="1108" t="s">
        <v>1257</v>
      </c>
      <c r="P63" s="1585"/>
      <c r="Q63" s="1108" t="s">
        <v>1257</v>
      </c>
      <c r="R63" s="1585"/>
      <c r="S63" s="1108" t="s">
        <v>1257</v>
      </c>
      <c r="T63" s="1585"/>
      <c r="U63" s="1108" t="s">
        <v>1257</v>
      </c>
      <c r="V63" s="1585"/>
    </row>
    <row r="64" spans="2:22" ht="33.75">
      <c r="B64" s="106"/>
      <c r="C64" s="477"/>
      <c r="D64" s="1116" t="s">
        <v>2107</v>
      </c>
      <c r="E64" s="109" t="s">
        <v>14</v>
      </c>
      <c r="F64" s="1587"/>
      <c r="G64" s="1111">
        <v>150359875</v>
      </c>
      <c r="H64" s="109" t="s">
        <v>677</v>
      </c>
      <c r="I64" s="109" t="s">
        <v>677</v>
      </c>
      <c r="J64" s="109" t="s">
        <v>677</v>
      </c>
      <c r="K64" s="109" t="s">
        <v>677</v>
      </c>
      <c r="L64" s="109" t="s">
        <v>554</v>
      </c>
      <c r="M64" s="1112">
        <f t="shared" si="0"/>
        <v>12529989.583333334</v>
      </c>
      <c r="N64" s="1102" t="s">
        <v>2055</v>
      </c>
      <c r="O64" s="1108" t="s">
        <v>1257</v>
      </c>
      <c r="P64" s="1585"/>
      <c r="Q64" s="1108" t="s">
        <v>1257</v>
      </c>
      <c r="R64" s="1585"/>
      <c r="S64" s="1108" t="s">
        <v>1257</v>
      </c>
      <c r="T64" s="1585"/>
      <c r="U64" s="1108" t="s">
        <v>1257</v>
      </c>
      <c r="V64" s="1585"/>
    </row>
    <row r="65" spans="2:22" ht="33.75">
      <c r="B65" s="106"/>
      <c r="C65" s="477"/>
      <c r="D65" s="1116" t="s">
        <v>2108</v>
      </c>
      <c r="E65" s="109" t="s">
        <v>14</v>
      </c>
      <c r="F65" s="1587"/>
      <c r="G65" s="1111">
        <v>75179937</v>
      </c>
      <c r="H65" s="109" t="s">
        <v>677</v>
      </c>
      <c r="I65" s="109" t="s">
        <v>677</v>
      </c>
      <c r="J65" s="109" t="s">
        <v>677</v>
      </c>
      <c r="K65" s="109" t="s">
        <v>677</v>
      </c>
      <c r="L65" s="109" t="s">
        <v>554</v>
      </c>
      <c r="M65" s="1112">
        <f t="shared" si="0"/>
        <v>6264994.75</v>
      </c>
      <c r="N65" s="1102" t="s">
        <v>2055</v>
      </c>
      <c r="O65" s="1108" t="s">
        <v>1257</v>
      </c>
      <c r="P65" s="1585"/>
      <c r="Q65" s="1108" t="s">
        <v>1257</v>
      </c>
      <c r="R65" s="1585"/>
      <c r="S65" s="1108" t="s">
        <v>1257</v>
      </c>
      <c r="T65" s="1585"/>
      <c r="U65" s="1108" t="s">
        <v>1257</v>
      </c>
      <c r="V65" s="1585"/>
    </row>
    <row r="66" spans="2:22" ht="33.75">
      <c r="B66" s="106"/>
      <c r="C66" s="477"/>
      <c r="D66" s="1114" t="s">
        <v>265</v>
      </c>
      <c r="E66" s="109" t="s">
        <v>14</v>
      </c>
      <c r="F66" s="1587"/>
      <c r="G66" s="1111">
        <f>650777540-500000000</f>
        <v>150777540</v>
      </c>
      <c r="H66" s="109" t="s">
        <v>677</v>
      </c>
      <c r="I66" s="109" t="s">
        <v>677</v>
      </c>
      <c r="J66" s="109" t="s">
        <v>677</v>
      </c>
      <c r="K66" s="109" t="s">
        <v>677</v>
      </c>
      <c r="L66" s="109" t="s">
        <v>554</v>
      </c>
      <c r="M66" s="1112">
        <f t="shared" si="0"/>
        <v>12564795</v>
      </c>
      <c r="N66" s="1102" t="s">
        <v>2055</v>
      </c>
      <c r="O66" s="1108" t="s">
        <v>1257</v>
      </c>
      <c r="P66" s="1585"/>
      <c r="Q66" s="1108" t="s">
        <v>1257</v>
      </c>
      <c r="R66" s="1585"/>
      <c r="S66" s="1108" t="s">
        <v>1257</v>
      </c>
      <c r="T66" s="1585"/>
      <c r="U66" s="1108" t="s">
        <v>1257</v>
      </c>
      <c r="V66" s="1585"/>
    </row>
    <row r="67" spans="2:22" ht="33.75">
      <c r="B67" s="106"/>
      <c r="C67" s="477"/>
      <c r="D67" s="1116" t="s">
        <v>2109</v>
      </c>
      <c r="E67" s="109" t="s">
        <v>14</v>
      </c>
      <c r="F67" s="1587"/>
      <c r="G67" s="1111">
        <v>882899141</v>
      </c>
      <c r="H67" s="109" t="s">
        <v>677</v>
      </c>
      <c r="I67" s="109" t="s">
        <v>677</v>
      </c>
      <c r="J67" s="109" t="s">
        <v>677</v>
      </c>
      <c r="K67" s="109" t="s">
        <v>677</v>
      </c>
      <c r="L67" s="109" t="s">
        <v>554</v>
      </c>
      <c r="M67" s="1112">
        <f t="shared" si="0"/>
        <v>73574928.416666672</v>
      </c>
      <c r="N67" s="1102" t="s">
        <v>2055</v>
      </c>
      <c r="O67" s="1108" t="s">
        <v>1257</v>
      </c>
      <c r="P67" s="1585"/>
      <c r="Q67" s="1108" t="s">
        <v>1257</v>
      </c>
      <c r="R67" s="1585"/>
      <c r="S67" s="1108" t="s">
        <v>1257</v>
      </c>
      <c r="T67" s="1585"/>
      <c r="U67" s="1108" t="s">
        <v>1257</v>
      </c>
      <c r="V67" s="1585"/>
    </row>
    <row r="68" spans="2:22" ht="33.75">
      <c r="B68" s="106"/>
      <c r="C68" s="477"/>
      <c r="D68" s="1116" t="s">
        <v>2110</v>
      </c>
      <c r="E68" s="109" t="s">
        <v>14</v>
      </c>
      <c r="F68" s="1587"/>
      <c r="G68" s="1111">
        <v>1141832070</v>
      </c>
      <c r="H68" s="109" t="s">
        <v>677</v>
      </c>
      <c r="I68" s="109" t="s">
        <v>677</v>
      </c>
      <c r="J68" s="109" t="s">
        <v>677</v>
      </c>
      <c r="K68" s="109" t="s">
        <v>677</v>
      </c>
      <c r="L68" s="109" t="s">
        <v>554</v>
      </c>
      <c r="M68" s="1112">
        <f t="shared" si="0"/>
        <v>95152672.5</v>
      </c>
      <c r="N68" s="1102" t="s">
        <v>2055</v>
      </c>
      <c r="O68" s="1108" t="s">
        <v>1257</v>
      </c>
      <c r="P68" s="1585"/>
      <c r="Q68" s="1108" t="s">
        <v>1257</v>
      </c>
      <c r="R68" s="1585"/>
      <c r="S68" s="1108" t="s">
        <v>1257</v>
      </c>
      <c r="T68" s="1585"/>
      <c r="U68" s="1108" t="s">
        <v>1257</v>
      </c>
      <c r="V68" s="1585"/>
    </row>
    <row r="69" spans="2:22" ht="33.75">
      <c r="B69" s="106"/>
      <c r="C69" s="477"/>
      <c r="D69" s="1116" t="s">
        <v>2111</v>
      </c>
      <c r="E69" s="109" t="s">
        <v>14</v>
      </c>
      <c r="F69" s="1587"/>
      <c r="G69" s="1111">
        <v>664507138</v>
      </c>
      <c r="H69" s="109" t="s">
        <v>677</v>
      </c>
      <c r="I69" s="109" t="s">
        <v>677</v>
      </c>
      <c r="J69" s="109" t="s">
        <v>677</v>
      </c>
      <c r="K69" s="109" t="s">
        <v>677</v>
      </c>
      <c r="L69" s="109" t="s">
        <v>554</v>
      </c>
      <c r="M69" s="1112">
        <f t="shared" si="0"/>
        <v>55375594.833333336</v>
      </c>
      <c r="N69" s="1102" t="s">
        <v>2055</v>
      </c>
      <c r="O69" s="1108" t="s">
        <v>1257</v>
      </c>
      <c r="P69" s="1585"/>
      <c r="Q69" s="1108" t="s">
        <v>1257</v>
      </c>
      <c r="R69" s="1585"/>
      <c r="S69" s="1108" t="s">
        <v>1257</v>
      </c>
      <c r="T69" s="1585"/>
      <c r="U69" s="1108" t="s">
        <v>1257</v>
      </c>
      <c r="V69" s="1585"/>
    </row>
    <row r="70" spans="2:22" ht="33.75">
      <c r="B70" s="106"/>
      <c r="C70" s="477"/>
      <c r="D70" s="1116" t="s">
        <v>2112</v>
      </c>
      <c r="E70" s="109" t="s">
        <v>14</v>
      </c>
      <c r="F70" s="1587"/>
      <c r="G70" s="1111">
        <v>604739375</v>
      </c>
      <c r="H70" s="109" t="s">
        <v>677</v>
      </c>
      <c r="I70" s="109" t="s">
        <v>677</v>
      </c>
      <c r="J70" s="109" t="s">
        <v>677</v>
      </c>
      <c r="K70" s="109" t="s">
        <v>677</v>
      </c>
      <c r="L70" s="109" t="s">
        <v>554</v>
      </c>
      <c r="M70" s="1112">
        <f t="shared" si="0"/>
        <v>50394947.916666664</v>
      </c>
      <c r="N70" s="1102" t="s">
        <v>2055</v>
      </c>
      <c r="O70" s="1108" t="s">
        <v>1257</v>
      </c>
      <c r="P70" s="1585"/>
      <c r="Q70" s="1108" t="s">
        <v>1257</v>
      </c>
      <c r="R70" s="1585"/>
      <c r="S70" s="1108" t="s">
        <v>1257</v>
      </c>
      <c r="T70" s="1585"/>
      <c r="U70" s="1108" t="s">
        <v>1257</v>
      </c>
      <c r="V70" s="1585"/>
    </row>
    <row r="71" spans="2:22" ht="33.75">
      <c r="B71" s="106"/>
      <c r="C71" s="477"/>
      <c r="D71" s="1116" t="s">
        <v>2113</v>
      </c>
      <c r="E71" s="109" t="s">
        <v>14</v>
      </c>
      <c r="F71" s="1587"/>
      <c r="G71" s="1111">
        <v>75179937</v>
      </c>
      <c r="H71" s="109" t="s">
        <v>677</v>
      </c>
      <c r="I71" s="109" t="s">
        <v>677</v>
      </c>
      <c r="J71" s="109" t="s">
        <v>677</v>
      </c>
      <c r="K71" s="109" t="s">
        <v>677</v>
      </c>
      <c r="L71" s="109" t="s">
        <v>554</v>
      </c>
      <c r="M71" s="1112">
        <f t="shared" si="0"/>
        <v>6264994.75</v>
      </c>
      <c r="N71" s="1102" t="s">
        <v>2055</v>
      </c>
      <c r="O71" s="1108" t="s">
        <v>1257</v>
      </c>
      <c r="P71" s="1585"/>
      <c r="Q71" s="1108" t="s">
        <v>1257</v>
      </c>
      <c r="R71" s="1585"/>
      <c r="S71" s="1108" t="s">
        <v>1257</v>
      </c>
      <c r="T71" s="1585"/>
      <c r="U71" s="1108" t="s">
        <v>1257</v>
      </c>
      <c r="V71" s="1585"/>
    </row>
    <row r="72" spans="2:22" ht="33.75">
      <c r="B72" s="106"/>
      <c r="C72" s="477"/>
      <c r="D72" s="1116" t="s">
        <v>2114</v>
      </c>
      <c r="E72" s="109" t="s">
        <v>14</v>
      </c>
      <c r="F72" s="1587"/>
      <c r="G72" s="1111">
        <v>75179937</v>
      </c>
      <c r="H72" s="109" t="s">
        <v>677</v>
      </c>
      <c r="I72" s="109" t="s">
        <v>677</v>
      </c>
      <c r="J72" s="109" t="s">
        <v>677</v>
      </c>
      <c r="K72" s="109" t="s">
        <v>677</v>
      </c>
      <c r="L72" s="109" t="s">
        <v>554</v>
      </c>
      <c r="M72" s="1112">
        <f t="shared" si="0"/>
        <v>6264994.75</v>
      </c>
      <c r="N72" s="1102" t="s">
        <v>2055</v>
      </c>
      <c r="O72" s="1108" t="s">
        <v>1257</v>
      </c>
      <c r="P72" s="1585"/>
      <c r="Q72" s="1108" t="s">
        <v>1257</v>
      </c>
      <c r="R72" s="1585"/>
      <c r="S72" s="1108" t="s">
        <v>1257</v>
      </c>
      <c r="T72" s="1585"/>
      <c r="U72" s="1108" t="s">
        <v>1257</v>
      </c>
      <c r="V72" s="1585"/>
    </row>
    <row r="73" spans="2:22" ht="33.75">
      <c r="B73" s="106"/>
      <c r="C73" s="477"/>
      <c r="D73" s="1116" t="s">
        <v>2115</v>
      </c>
      <c r="E73" s="109" t="s">
        <v>14</v>
      </c>
      <c r="F73" s="1587"/>
      <c r="G73" s="1111">
        <v>75179937</v>
      </c>
      <c r="H73" s="109" t="s">
        <v>677</v>
      </c>
      <c r="I73" s="109" t="s">
        <v>677</v>
      </c>
      <c r="J73" s="109" t="s">
        <v>677</v>
      </c>
      <c r="K73" s="109" t="s">
        <v>677</v>
      </c>
      <c r="L73" s="109" t="s">
        <v>554</v>
      </c>
      <c r="M73" s="1112">
        <f t="shared" si="0"/>
        <v>6264994.75</v>
      </c>
      <c r="N73" s="1102" t="s">
        <v>2055</v>
      </c>
      <c r="O73" s="1108" t="s">
        <v>1257</v>
      </c>
      <c r="P73" s="1585"/>
      <c r="Q73" s="1108" t="s">
        <v>1257</v>
      </c>
      <c r="R73" s="1585"/>
      <c r="S73" s="1108" t="s">
        <v>1257</v>
      </c>
      <c r="T73" s="1585"/>
      <c r="U73" s="1108" t="s">
        <v>1257</v>
      </c>
      <c r="V73" s="1585"/>
    </row>
    <row r="74" spans="2:22" ht="33.75">
      <c r="B74" s="106"/>
      <c r="C74" s="477"/>
      <c r="D74" s="1116" t="s">
        <v>2116</v>
      </c>
      <c r="E74" s="109" t="s">
        <v>14</v>
      </c>
      <c r="F74" s="1587"/>
      <c r="G74" s="1111">
        <v>75179937</v>
      </c>
      <c r="H74" s="109" t="s">
        <v>677</v>
      </c>
      <c r="I74" s="109" t="s">
        <v>677</v>
      </c>
      <c r="J74" s="109" t="s">
        <v>677</v>
      </c>
      <c r="K74" s="109" t="s">
        <v>677</v>
      </c>
      <c r="L74" s="109" t="s">
        <v>554</v>
      </c>
      <c r="M74" s="1112">
        <f t="shared" si="0"/>
        <v>6264994.75</v>
      </c>
      <c r="N74" s="1102" t="s">
        <v>2055</v>
      </c>
      <c r="O74" s="1108" t="s">
        <v>1257</v>
      </c>
      <c r="P74" s="1585"/>
      <c r="Q74" s="1108" t="s">
        <v>1257</v>
      </c>
      <c r="R74" s="1585"/>
      <c r="S74" s="1108" t="s">
        <v>1257</v>
      </c>
      <c r="T74" s="1585"/>
      <c r="U74" s="1108" t="s">
        <v>1257</v>
      </c>
      <c r="V74" s="1585"/>
    </row>
    <row r="75" spans="2:22" ht="33.75">
      <c r="B75" s="106"/>
      <c r="C75" s="477"/>
      <c r="D75" s="1116" t="s">
        <v>2117</v>
      </c>
      <c r="E75" s="109" t="s">
        <v>14</v>
      </c>
      <c r="F75" s="1587"/>
      <c r="G75" s="1111">
        <v>75179937</v>
      </c>
      <c r="H75" s="109" t="s">
        <v>677</v>
      </c>
      <c r="I75" s="109" t="s">
        <v>677</v>
      </c>
      <c r="J75" s="109" t="s">
        <v>677</v>
      </c>
      <c r="K75" s="109" t="s">
        <v>677</v>
      </c>
      <c r="L75" s="109" t="s">
        <v>554</v>
      </c>
      <c r="M75" s="1112">
        <f t="shared" ref="M75:M91" si="1">G75/12</f>
        <v>6264994.75</v>
      </c>
      <c r="N75" s="1102" t="s">
        <v>2055</v>
      </c>
      <c r="O75" s="1108" t="s">
        <v>1257</v>
      </c>
      <c r="P75" s="1585"/>
      <c r="Q75" s="1108" t="s">
        <v>1257</v>
      </c>
      <c r="R75" s="1585"/>
      <c r="S75" s="1108" t="s">
        <v>1257</v>
      </c>
      <c r="T75" s="1585"/>
      <c r="U75" s="1108" t="s">
        <v>1257</v>
      </c>
      <c r="V75" s="1585"/>
    </row>
    <row r="76" spans="2:22" ht="33.75">
      <c r="B76" s="106"/>
      <c r="C76" s="477"/>
      <c r="D76" s="1116" t="s">
        <v>2118</v>
      </c>
      <c r="E76" s="109" t="s">
        <v>14</v>
      </c>
      <c r="F76" s="1587"/>
      <c r="G76" s="1111">
        <v>75179937</v>
      </c>
      <c r="H76" s="109" t="s">
        <v>677</v>
      </c>
      <c r="I76" s="109" t="s">
        <v>677</v>
      </c>
      <c r="J76" s="109" t="s">
        <v>677</v>
      </c>
      <c r="K76" s="109" t="s">
        <v>677</v>
      </c>
      <c r="L76" s="109" t="s">
        <v>554</v>
      </c>
      <c r="M76" s="1112">
        <f t="shared" si="1"/>
        <v>6264994.75</v>
      </c>
      <c r="N76" s="1102" t="s">
        <v>2055</v>
      </c>
      <c r="O76" s="1108" t="s">
        <v>1257</v>
      </c>
      <c r="P76" s="1585"/>
      <c r="Q76" s="1108" t="s">
        <v>1257</v>
      </c>
      <c r="R76" s="1585"/>
      <c r="S76" s="1108" t="s">
        <v>1257</v>
      </c>
      <c r="T76" s="1585"/>
      <c r="U76" s="1108" t="s">
        <v>1257</v>
      </c>
      <c r="V76" s="1585"/>
    </row>
    <row r="77" spans="2:22" ht="33.75">
      <c r="B77" s="106"/>
      <c r="C77" s="477"/>
      <c r="D77" s="1116" t="s">
        <v>2119</v>
      </c>
      <c r="E77" s="109" t="s">
        <v>14</v>
      </c>
      <c r="F77" s="1587"/>
      <c r="G77" s="1111">
        <v>75179937</v>
      </c>
      <c r="H77" s="109" t="s">
        <v>677</v>
      </c>
      <c r="I77" s="109" t="s">
        <v>677</v>
      </c>
      <c r="J77" s="109" t="s">
        <v>677</v>
      </c>
      <c r="K77" s="109" t="s">
        <v>677</v>
      </c>
      <c r="L77" s="109" t="s">
        <v>554</v>
      </c>
      <c r="M77" s="1112">
        <f t="shared" si="1"/>
        <v>6264994.75</v>
      </c>
      <c r="N77" s="1102" t="s">
        <v>2055</v>
      </c>
      <c r="O77" s="1108" t="s">
        <v>1257</v>
      </c>
      <c r="P77" s="1585"/>
      <c r="Q77" s="1108" t="s">
        <v>1257</v>
      </c>
      <c r="R77" s="1585"/>
      <c r="S77" s="1108" t="s">
        <v>1257</v>
      </c>
      <c r="T77" s="1585"/>
      <c r="U77" s="1108" t="s">
        <v>1257</v>
      </c>
      <c r="V77" s="1585"/>
    </row>
    <row r="78" spans="2:22" ht="33.75">
      <c r="B78" s="106"/>
      <c r="C78" s="477"/>
      <c r="D78" s="1116" t="s">
        <v>2120</v>
      </c>
      <c r="E78" s="109" t="s">
        <v>14</v>
      </c>
      <c r="F78" s="1587"/>
      <c r="G78" s="1111">
        <v>523220257</v>
      </c>
      <c r="H78" s="109" t="s">
        <v>677</v>
      </c>
      <c r="I78" s="109" t="s">
        <v>677</v>
      </c>
      <c r="J78" s="109" t="s">
        <v>677</v>
      </c>
      <c r="K78" s="109" t="s">
        <v>677</v>
      </c>
      <c r="L78" s="109" t="s">
        <v>554</v>
      </c>
      <c r="M78" s="1112">
        <f t="shared" si="1"/>
        <v>43601688.083333336</v>
      </c>
      <c r="N78" s="1102" t="s">
        <v>2055</v>
      </c>
      <c r="O78" s="1108" t="s">
        <v>1257</v>
      </c>
      <c r="P78" s="1585"/>
      <c r="Q78" s="1108" t="s">
        <v>1257</v>
      </c>
      <c r="R78" s="1585"/>
      <c r="S78" s="1108" t="s">
        <v>1257</v>
      </c>
      <c r="T78" s="1585"/>
      <c r="U78" s="1108" t="s">
        <v>1257</v>
      </c>
      <c r="V78" s="1585"/>
    </row>
    <row r="79" spans="2:22" ht="33.75">
      <c r="B79" s="106"/>
      <c r="C79" s="477"/>
      <c r="D79" s="1116" t="s">
        <v>2121</v>
      </c>
      <c r="E79" s="109" t="s">
        <v>14</v>
      </c>
      <c r="F79" s="1587"/>
      <c r="G79" s="1111">
        <v>714339691</v>
      </c>
      <c r="H79" s="109" t="s">
        <v>677</v>
      </c>
      <c r="I79" s="109" t="s">
        <v>677</v>
      </c>
      <c r="J79" s="109" t="s">
        <v>677</v>
      </c>
      <c r="K79" s="109" t="s">
        <v>677</v>
      </c>
      <c r="L79" s="109" t="s">
        <v>554</v>
      </c>
      <c r="M79" s="1112">
        <f t="shared" si="1"/>
        <v>59528307.583333336</v>
      </c>
      <c r="N79" s="1102" t="s">
        <v>2055</v>
      </c>
      <c r="O79" s="1108" t="s">
        <v>1257</v>
      </c>
      <c r="P79" s="1585"/>
      <c r="Q79" s="1108" t="s">
        <v>1257</v>
      </c>
      <c r="R79" s="1585"/>
      <c r="S79" s="1108" t="s">
        <v>1257</v>
      </c>
      <c r="T79" s="1585"/>
      <c r="U79" s="1108" t="s">
        <v>1257</v>
      </c>
      <c r="V79" s="1585"/>
    </row>
    <row r="80" spans="2:22" ht="33.75">
      <c r="B80" s="106"/>
      <c r="C80" s="477"/>
      <c r="D80" s="1116" t="s">
        <v>2122</v>
      </c>
      <c r="E80" s="109" t="s">
        <v>14</v>
      </c>
      <c r="F80" s="1587"/>
      <c r="G80" s="1111">
        <v>381933377</v>
      </c>
      <c r="H80" s="109" t="s">
        <v>677</v>
      </c>
      <c r="I80" s="109" t="s">
        <v>677</v>
      </c>
      <c r="J80" s="109" t="s">
        <v>677</v>
      </c>
      <c r="K80" s="109" t="s">
        <v>677</v>
      </c>
      <c r="L80" s="109" t="s">
        <v>554</v>
      </c>
      <c r="M80" s="1112">
        <f t="shared" si="1"/>
        <v>31827781.416666668</v>
      </c>
      <c r="N80" s="1102" t="s">
        <v>2055</v>
      </c>
      <c r="O80" s="1108" t="s">
        <v>1257</v>
      </c>
      <c r="P80" s="1585"/>
      <c r="Q80" s="1108" t="s">
        <v>1257</v>
      </c>
      <c r="R80" s="1585"/>
      <c r="S80" s="1108" t="s">
        <v>1257</v>
      </c>
      <c r="T80" s="1585"/>
      <c r="U80" s="1108" t="s">
        <v>1257</v>
      </c>
      <c r="V80" s="1585"/>
    </row>
    <row r="81" spans="2:22" ht="33.75">
      <c r="B81" s="106"/>
      <c r="C81" s="477"/>
      <c r="D81" s="1116" t="s">
        <v>2123</v>
      </c>
      <c r="E81" s="109" t="s">
        <v>14</v>
      </c>
      <c r="F81" s="1587"/>
      <c r="G81" s="1111">
        <v>763667553</v>
      </c>
      <c r="H81" s="109" t="s">
        <v>677</v>
      </c>
      <c r="I81" s="109" t="s">
        <v>677</v>
      </c>
      <c r="J81" s="109" t="s">
        <v>677</v>
      </c>
      <c r="K81" s="109" t="s">
        <v>677</v>
      </c>
      <c r="L81" s="109" t="s">
        <v>554</v>
      </c>
      <c r="M81" s="1112">
        <f t="shared" si="1"/>
        <v>63638962.75</v>
      </c>
      <c r="N81" s="1102" t="s">
        <v>2055</v>
      </c>
      <c r="O81" s="1108" t="s">
        <v>1257</v>
      </c>
      <c r="P81" s="1585"/>
      <c r="Q81" s="1108" t="s">
        <v>1257</v>
      </c>
      <c r="R81" s="1585"/>
      <c r="S81" s="1108" t="s">
        <v>1257</v>
      </c>
      <c r="T81" s="1585"/>
      <c r="U81" s="1108" t="s">
        <v>1257</v>
      </c>
      <c r="V81" s="1585"/>
    </row>
    <row r="82" spans="2:22" ht="33.75">
      <c r="B82" s="106"/>
      <c r="C82" s="477"/>
      <c r="D82" s="1114" t="s">
        <v>174</v>
      </c>
      <c r="E82" s="109" t="s">
        <v>14</v>
      </c>
      <c r="F82" s="1587"/>
      <c r="G82" s="1117">
        <f>298576204+1194304</f>
        <v>299770508</v>
      </c>
      <c r="H82" s="109" t="s">
        <v>677</v>
      </c>
      <c r="I82" s="109" t="s">
        <v>677</v>
      </c>
      <c r="J82" s="109" t="s">
        <v>677</v>
      </c>
      <c r="K82" s="109" t="s">
        <v>677</v>
      </c>
      <c r="L82" s="109" t="s">
        <v>554</v>
      </c>
      <c r="M82" s="1112">
        <f t="shared" si="1"/>
        <v>24980875.666666668</v>
      </c>
      <c r="N82" s="1102" t="s">
        <v>2055</v>
      </c>
      <c r="O82" s="1108" t="s">
        <v>1257</v>
      </c>
      <c r="P82" s="1585"/>
      <c r="Q82" s="1108" t="s">
        <v>1257</v>
      </c>
      <c r="R82" s="1585"/>
      <c r="S82" s="1108" t="s">
        <v>1257</v>
      </c>
      <c r="T82" s="1585"/>
      <c r="U82" s="1108" t="s">
        <v>1257</v>
      </c>
      <c r="V82" s="1585"/>
    </row>
    <row r="83" spans="2:22" ht="33.75">
      <c r="B83" s="106"/>
      <c r="C83" s="477"/>
      <c r="D83" s="1116" t="s">
        <v>2124</v>
      </c>
      <c r="E83" s="109" t="s">
        <v>14</v>
      </c>
      <c r="F83" s="1587"/>
      <c r="G83" s="1111">
        <v>75179937</v>
      </c>
      <c r="H83" s="109" t="s">
        <v>677</v>
      </c>
      <c r="I83" s="109" t="s">
        <v>677</v>
      </c>
      <c r="J83" s="109" t="s">
        <v>677</v>
      </c>
      <c r="K83" s="109" t="s">
        <v>677</v>
      </c>
      <c r="L83" s="109" t="s">
        <v>554</v>
      </c>
      <c r="M83" s="1112">
        <f t="shared" si="1"/>
        <v>6264994.75</v>
      </c>
      <c r="N83" s="1102" t="s">
        <v>2055</v>
      </c>
      <c r="O83" s="1108" t="s">
        <v>1257</v>
      </c>
      <c r="P83" s="1585"/>
      <c r="Q83" s="1108" t="s">
        <v>1257</v>
      </c>
      <c r="R83" s="1585"/>
      <c r="S83" s="1108" t="s">
        <v>1257</v>
      </c>
      <c r="T83" s="1585"/>
      <c r="U83" s="1108" t="s">
        <v>1257</v>
      </c>
      <c r="V83" s="1585"/>
    </row>
    <row r="84" spans="2:22" ht="33.75">
      <c r="B84" s="106"/>
      <c r="C84" s="477"/>
      <c r="D84" s="1116" t="s">
        <v>2125</v>
      </c>
      <c r="E84" s="109" t="s">
        <v>14</v>
      </c>
      <c r="F84" s="1587"/>
      <c r="G84" s="1111">
        <v>75179937</v>
      </c>
      <c r="H84" s="109" t="s">
        <v>677</v>
      </c>
      <c r="I84" s="109" t="s">
        <v>677</v>
      </c>
      <c r="J84" s="109" t="s">
        <v>677</v>
      </c>
      <c r="K84" s="109" t="s">
        <v>677</v>
      </c>
      <c r="L84" s="109" t="s">
        <v>554</v>
      </c>
      <c r="M84" s="1112">
        <f t="shared" si="1"/>
        <v>6264994.75</v>
      </c>
      <c r="N84" s="1102" t="s">
        <v>2055</v>
      </c>
      <c r="O84" s="1108" t="s">
        <v>1257</v>
      </c>
      <c r="P84" s="1585"/>
      <c r="Q84" s="1108" t="s">
        <v>1257</v>
      </c>
      <c r="R84" s="1585"/>
      <c r="S84" s="1108" t="s">
        <v>1257</v>
      </c>
      <c r="T84" s="1585"/>
      <c r="U84" s="1108" t="s">
        <v>1257</v>
      </c>
      <c r="V84" s="1585"/>
    </row>
    <row r="85" spans="2:22" ht="33.75">
      <c r="B85" s="106"/>
      <c r="C85" s="477"/>
      <c r="D85" s="1116" t="s">
        <v>2126</v>
      </c>
      <c r="E85" s="109" t="s">
        <v>14</v>
      </c>
      <c r="F85" s="1587"/>
      <c r="G85" s="1111">
        <v>75179937</v>
      </c>
      <c r="H85" s="109" t="s">
        <v>677</v>
      </c>
      <c r="I85" s="109" t="s">
        <v>677</v>
      </c>
      <c r="J85" s="109" t="s">
        <v>677</v>
      </c>
      <c r="K85" s="109" t="s">
        <v>677</v>
      </c>
      <c r="L85" s="109" t="s">
        <v>554</v>
      </c>
      <c r="M85" s="1112">
        <f t="shared" si="1"/>
        <v>6264994.75</v>
      </c>
      <c r="N85" s="1102" t="s">
        <v>2055</v>
      </c>
      <c r="O85" s="1108" t="s">
        <v>1257</v>
      </c>
      <c r="P85" s="1585"/>
      <c r="Q85" s="1108" t="s">
        <v>1257</v>
      </c>
      <c r="R85" s="1585"/>
      <c r="S85" s="1108" t="s">
        <v>1257</v>
      </c>
      <c r="T85" s="1585"/>
      <c r="U85" s="1108" t="s">
        <v>1257</v>
      </c>
      <c r="V85" s="1585"/>
    </row>
    <row r="86" spans="2:22" ht="33.75">
      <c r="B86" s="106"/>
      <c r="C86" s="477"/>
      <c r="D86" s="1116" t="s">
        <v>2127</v>
      </c>
      <c r="E86" s="109" t="s">
        <v>14</v>
      </c>
      <c r="F86" s="1587"/>
      <c r="G86" s="1111">
        <v>75179937</v>
      </c>
      <c r="H86" s="109" t="s">
        <v>677</v>
      </c>
      <c r="I86" s="109" t="s">
        <v>677</v>
      </c>
      <c r="J86" s="109" t="s">
        <v>677</v>
      </c>
      <c r="K86" s="109" t="s">
        <v>677</v>
      </c>
      <c r="L86" s="109" t="s">
        <v>554</v>
      </c>
      <c r="M86" s="1112">
        <f t="shared" si="1"/>
        <v>6264994.75</v>
      </c>
      <c r="N86" s="1102" t="s">
        <v>2055</v>
      </c>
      <c r="O86" s="1108" t="s">
        <v>1257</v>
      </c>
      <c r="P86" s="1585"/>
      <c r="Q86" s="1108" t="s">
        <v>1257</v>
      </c>
      <c r="R86" s="1585"/>
      <c r="S86" s="1108" t="s">
        <v>1257</v>
      </c>
      <c r="T86" s="1585"/>
      <c r="U86" s="1108" t="s">
        <v>1257</v>
      </c>
      <c r="V86" s="1585"/>
    </row>
    <row r="87" spans="2:22" ht="33.75">
      <c r="B87" s="106"/>
      <c r="C87" s="477"/>
      <c r="D87" s="1116" t="s">
        <v>2128</v>
      </c>
      <c r="E87" s="109" t="s">
        <v>14</v>
      </c>
      <c r="F87" s="1587"/>
      <c r="G87" s="1111">
        <v>75179937</v>
      </c>
      <c r="H87" s="109" t="s">
        <v>677</v>
      </c>
      <c r="I87" s="109" t="s">
        <v>677</v>
      </c>
      <c r="J87" s="109" t="s">
        <v>677</v>
      </c>
      <c r="K87" s="109" t="s">
        <v>677</v>
      </c>
      <c r="L87" s="109" t="s">
        <v>554</v>
      </c>
      <c r="M87" s="1112">
        <f t="shared" si="1"/>
        <v>6264994.75</v>
      </c>
      <c r="N87" s="1102" t="s">
        <v>2055</v>
      </c>
      <c r="O87" s="1108" t="s">
        <v>1257</v>
      </c>
      <c r="P87" s="1585"/>
      <c r="Q87" s="1108" t="s">
        <v>1257</v>
      </c>
      <c r="R87" s="1585"/>
      <c r="S87" s="1108" t="s">
        <v>1257</v>
      </c>
      <c r="T87" s="1585"/>
      <c r="U87" s="1108" t="s">
        <v>1257</v>
      </c>
      <c r="V87" s="1585"/>
    </row>
    <row r="88" spans="2:22" ht="33.75">
      <c r="B88" s="106"/>
      <c r="C88" s="477"/>
      <c r="D88" s="1116" t="s">
        <v>2129</v>
      </c>
      <c r="E88" s="109" t="s">
        <v>14</v>
      </c>
      <c r="F88" s="1587"/>
      <c r="G88" s="1111">
        <v>1245066833</v>
      </c>
      <c r="H88" s="109" t="s">
        <v>677</v>
      </c>
      <c r="I88" s="109" t="s">
        <v>677</v>
      </c>
      <c r="J88" s="109" t="s">
        <v>677</v>
      </c>
      <c r="K88" s="109" t="s">
        <v>677</v>
      </c>
      <c r="L88" s="109" t="s">
        <v>554</v>
      </c>
      <c r="M88" s="1112">
        <f t="shared" si="1"/>
        <v>103755569.41666667</v>
      </c>
      <c r="N88" s="1102" t="s">
        <v>2055</v>
      </c>
      <c r="O88" s="1108" t="s">
        <v>1257</v>
      </c>
      <c r="P88" s="1585"/>
      <c r="Q88" s="1108" t="s">
        <v>1257</v>
      </c>
      <c r="R88" s="1585"/>
      <c r="S88" s="1108" t="s">
        <v>1257</v>
      </c>
      <c r="T88" s="1585"/>
      <c r="U88" s="1108" t="s">
        <v>1257</v>
      </c>
      <c r="V88" s="1585"/>
    </row>
    <row r="89" spans="2:22" ht="33.75">
      <c r="B89" s="106"/>
      <c r="C89" s="477"/>
      <c r="D89" s="1116" t="s">
        <v>2130</v>
      </c>
      <c r="E89" s="109" t="s">
        <v>14</v>
      </c>
      <c r="F89" s="1587"/>
      <c r="G89" s="1111">
        <v>562612908</v>
      </c>
      <c r="H89" s="109" t="s">
        <v>677</v>
      </c>
      <c r="I89" s="109" t="s">
        <v>677</v>
      </c>
      <c r="J89" s="109" t="s">
        <v>677</v>
      </c>
      <c r="K89" s="109" t="s">
        <v>677</v>
      </c>
      <c r="L89" s="109" t="s">
        <v>554</v>
      </c>
      <c r="M89" s="1112">
        <f t="shared" si="1"/>
        <v>46884409</v>
      </c>
      <c r="N89" s="1102" t="s">
        <v>2055</v>
      </c>
      <c r="O89" s="1108" t="s">
        <v>1257</v>
      </c>
      <c r="P89" s="1585"/>
      <c r="Q89" s="1108" t="s">
        <v>1257</v>
      </c>
      <c r="R89" s="1585"/>
      <c r="S89" s="1108" t="s">
        <v>1257</v>
      </c>
      <c r="T89" s="1585"/>
      <c r="U89" s="1108" t="s">
        <v>1257</v>
      </c>
      <c r="V89" s="1585"/>
    </row>
    <row r="90" spans="2:22" ht="33.75">
      <c r="B90" s="106"/>
      <c r="C90" s="477"/>
      <c r="D90" s="1116" t="s">
        <v>2131</v>
      </c>
      <c r="E90" s="109" t="s">
        <v>14</v>
      </c>
      <c r="F90" s="1587"/>
      <c r="G90" s="1111">
        <v>743066026</v>
      </c>
      <c r="H90" s="109" t="s">
        <v>677</v>
      </c>
      <c r="I90" s="109" t="s">
        <v>677</v>
      </c>
      <c r="J90" s="109" t="s">
        <v>677</v>
      </c>
      <c r="K90" s="109" t="s">
        <v>677</v>
      </c>
      <c r="L90" s="109" t="s">
        <v>554</v>
      </c>
      <c r="M90" s="1112">
        <f t="shared" si="1"/>
        <v>61922168.833333336</v>
      </c>
      <c r="N90" s="1102" t="s">
        <v>2055</v>
      </c>
      <c r="O90" s="1108" t="s">
        <v>1257</v>
      </c>
      <c r="P90" s="1585"/>
      <c r="Q90" s="1108" t="s">
        <v>1257</v>
      </c>
      <c r="R90" s="1585"/>
      <c r="S90" s="1108" t="s">
        <v>1257</v>
      </c>
      <c r="T90" s="1585"/>
      <c r="U90" s="1108" t="s">
        <v>1257</v>
      </c>
      <c r="V90" s="1585"/>
    </row>
    <row r="91" spans="2:22" ht="33.75">
      <c r="B91" s="106"/>
      <c r="C91" s="477"/>
      <c r="D91" s="1116" t="s">
        <v>2132</v>
      </c>
      <c r="E91" s="109" t="s">
        <v>14</v>
      </c>
      <c r="F91" s="1587"/>
      <c r="G91" s="1111">
        <v>1172591246</v>
      </c>
      <c r="H91" s="109" t="s">
        <v>677</v>
      </c>
      <c r="I91" s="109" t="s">
        <v>677</v>
      </c>
      <c r="J91" s="109" t="s">
        <v>677</v>
      </c>
      <c r="K91" s="109" t="s">
        <v>677</v>
      </c>
      <c r="L91" s="109" t="s">
        <v>554</v>
      </c>
      <c r="M91" s="1112">
        <f t="shared" si="1"/>
        <v>97715937.166666672</v>
      </c>
      <c r="N91" s="1102" t="s">
        <v>2055</v>
      </c>
      <c r="O91" s="1108" t="s">
        <v>1257</v>
      </c>
      <c r="P91" s="1585"/>
      <c r="Q91" s="1108" t="s">
        <v>1257</v>
      </c>
      <c r="R91" s="1585"/>
      <c r="S91" s="1108" t="s">
        <v>1257</v>
      </c>
      <c r="T91" s="1585"/>
      <c r="U91" s="1108" t="s">
        <v>1257</v>
      </c>
      <c r="V91" s="1585"/>
    </row>
    <row r="92" spans="2:22" ht="33.75">
      <c r="B92" s="106"/>
      <c r="C92" s="477"/>
      <c r="D92" s="1116" t="s">
        <v>2058</v>
      </c>
      <c r="E92" s="109" t="s">
        <v>14</v>
      </c>
      <c r="F92" s="1587" t="s">
        <v>2133</v>
      </c>
      <c r="G92" s="1111">
        <v>1079777758</v>
      </c>
      <c r="H92" s="109" t="s">
        <v>677</v>
      </c>
      <c r="I92" s="109" t="s">
        <v>677</v>
      </c>
      <c r="J92" s="109" t="s">
        <v>677</v>
      </c>
      <c r="K92" s="109" t="s">
        <v>677</v>
      </c>
      <c r="L92" s="109" t="s">
        <v>554</v>
      </c>
      <c r="M92" s="1112">
        <f>G92/12</f>
        <v>89981479.833333328</v>
      </c>
      <c r="N92" s="1102" t="s">
        <v>2055</v>
      </c>
      <c r="O92" s="1108" t="s">
        <v>1257</v>
      </c>
      <c r="P92" s="1585"/>
      <c r="Q92" s="1108" t="s">
        <v>1257</v>
      </c>
      <c r="R92" s="1585"/>
      <c r="S92" s="1108" t="s">
        <v>1257</v>
      </c>
      <c r="T92" s="1585"/>
      <c r="U92" s="1108" t="s">
        <v>1257</v>
      </c>
      <c r="V92" s="1585"/>
    </row>
    <row r="93" spans="2:22" ht="33.75">
      <c r="B93" s="106"/>
      <c r="C93" s="477"/>
      <c r="D93" s="1116" t="s">
        <v>2063</v>
      </c>
      <c r="E93" s="109" t="s">
        <v>14</v>
      </c>
      <c r="F93" s="1587"/>
      <c r="G93" s="1111">
        <v>137418472</v>
      </c>
      <c r="H93" s="109" t="s">
        <v>677</v>
      </c>
      <c r="I93" s="109" t="s">
        <v>677</v>
      </c>
      <c r="J93" s="109" t="s">
        <v>677</v>
      </c>
      <c r="K93" s="109" t="s">
        <v>677</v>
      </c>
      <c r="L93" s="109" t="s">
        <v>554</v>
      </c>
      <c r="M93" s="1112">
        <f t="shared" ref="M93:M126" si="2">G93/12</f>
        <v>11451539.333333334</v>
      </c>
      <c r="N93" s="1102" t="s">
        <v>2055</v>
      </c>
      <c r="O93" s="1108" t="s">
        <v>1257</v>
      </c>
      <c r="P93" s="1585"/>
      <c r="Q93" s="1108" t="s">
        <v>1257</v>
      </c>
      <c r="R93" s="1585"/>
      <c r="S93" s="1108" t="s">
        <v>1257</v>
      </c>
      <c r="T93" s="1585"/>
      <c r="U93" s="1108" t="s">
        <v>1257</v>
      </c>
      <c r="V93" s="1585"/>
    </row>
    <row r="94" spans="2:22" ht="33.75">
      <c r="B94" s="106"/>
      <c r="C94" s="477"/>
      <c r="D94" s="1116" t="s">
        <v>2134</v>
      </c>
      <c r="E94" s="109" t="s">
        <v>14</v>
      </c>
      <c r="F94" s="1587"/>
      <c r="G94" s="1111">
        <v>301137416</v>
      </c>
      <c r="H94" s="109" t="s">
        <v>677</v>
      </c>
      <c r="I94" s="109" t="s">
        <v>677</v>
      </c>
      <c r="J94" s="109" t="s">
        <v>677</v>
      </c>
      <c r="K94" s="109" t="s">
        <v>677</v>
      </c>
      <c r="L94" s="109" t="s">
        <v>554</v>
      </c>
      <c r="M94" s="1112">
        <f t="shared" si="2"/>
        <v>25094784.666666668</v>
      </c>
      <c r="N94" s="1102" t="s">
        <v>2055</v>
      </c>
      <c r="O94" s="1108" t="s">
        <v>1257</v>
      </c>
      <c r="P94" s="1585"/>
      <c r="Q94" s="1108" t="s">
        <v>1257</v>
      </c>
      <c r="R94" s="1585"/>
      <c r="S94" s="1108" t="s">
        <v>1257</v>
      </c>
      <c r="T94" s="1585"/>
      <c r="U94" s="1108" t="s">
        <v>1257</v>
      </c>
      <c r="V94" s="1585"/>
    </row>
    <row r="95" spans="2:22" ht="33.75">
      <c r="B95" s="106"/>
      <c r="C95" s="477"/>
      <c r="D95" s="1116" t="s">
        <v>2135</v>
      </c>
      <c r="E95" s="109" t="s">
        <v>14</v>
      </c>
      <c r="F95" s="1587"/>
      <c r="G95" s="1111">
        <v>338683332</v>
      </c>
      <c r="H95" s="109" t="s">
        <v>677</v>
      </c>
      <c r="I95" s="109" t="s">
        <v>677</v>
      </c>
      <c r="J95" s="109" t="s">
        <v>677</v>
      </c>
      <c r="K95" s="109" t="s">
        <v>677</v>
      </c>
      <c r="L95" s="109" t="s">
        <v>554</v>
      </c>
      <c r="M95" s="1112">
        <f t="shared" si="2"/>
        <v>28223611</v>
      </c>
      <c r="N95" s="1102" t="s">
        <v>2055</v>
      </c>
      <c r="O95" s="1108" t="s">
        <v>1257</v>
      </c>
      <c r="P95" s="1585"/>
      <c r="Q95" s="1108" t="s">
        <v>1257</v>
      </c>
      <c r="R95" s="1585"/>
      <c r="S95" s="1108" t="s">
        <v>1257</v>
      </c>
      <c r="T95" s="1585"/>
      <c r="U95" s="1108" t="s">
        <v>1257</v>
      </c>
      <c r="V95" s="1585"/>
    </row>
    <row r="96" spans="2:22" ht="33.75">
      <c r="B96" s="106"/>
      <c r="C96" s="477"/>
      <c r="D96" s="1116" t="s">
        <v>2136</v>
      </c>
      <c r="E96" s="109" t="s">
        <v>14</v>
      </c>
      <c r="F96" s="1587"/>
      <c r="G96" s="1111">
        <v>75284354</v>
      </c>
      <c r="H96" s="109" t="s">
        <v>677</v>
      </c>
      <c r="I96" s="109" t="s">
        <v>677</v>
      </c>
      <c r="J96" s="109" t="s">
        <v>677</v>
      </c>
      <c r="K96" s="109" t="s">
        <v>677</v>
      </c>
      <c r="L96" s="109" t="s">
        <v>554</v>
      </c>
      <c r="M96" s="1112">
        <f t="shared" si="2"/>
        <v>6273696.166666667</v>
      </c>
      <c r="N96" s="1102" t="s">
        <v>2055</v>
      </c>
      <c r="O96" s="1108" t="s">
        <v>1257</v>
      </c>
      <c r="P96" s="1585"/>
      <c r="Q96" s="1108" t="s">
        <v>1257</v>
      </c>
      <c r="R96" s="1585"/>
      <c r="S96" s="1108" t="s">
        <v>1257</v>
      </c>
      <c r="T96" s="1585"/>
      <c r="U96" s="1108" t="s">
        <v>1257</v>
      </c>
      <c r="V96" s="1585"/>
    </row>
    <row r="97" spans="2:22" ht="33.75">
      <c r="B97" s="106"/>
      <c r="C97" s="477"/>
      <c r="D97" s="1116" t="s">
        <v>2067</v>
      </c>
      <c r="E97" s="109" t="s">
        <v>14</v>
      </c>
      <c r="F97" s="1587"/>
      <c r="G97" s="1111">
        <v>75284354</v>
      </c>
      <c r="H97" s="109" t="s">
        <v>677</v>
      </c>
      <c r="I97" s="109" t="s">
        <v>677</v>
      </c>
      <c r="J97" s="109" t="s">
        <v>677</v>
      </c>
      <c r="K97" s="109" t="s">
        <v>677</v>
      </c>
      <c r="L97" s="109" t="s">
        <v>554</v>
      </c>
      <c r="M97" s="1112">
        <f t="shared" si="2"/>
        <v>6273696.166666667</v>
      </c>
      <c r="N97" s="1102" t="s">
        <v>2055</v>
      </c>
      <c r="O97" s="1108" t="s">
        <v>1257</v>
      </c>
      <c r="P97" s="1585"/>
      <c r="Q97" s="1108" t="s">
        <v>1257</v>
      </c>
      <c r="R97" s="1585"/>
      <c r="S97" s="1108" t="s">
        <v>1257</v>
      </c>
      <c r="T97" s="1585"/>
      <c r="U97" s="1108" t="s">
        <v>1257</v>
      </c>
      <c r="V97" s="1585"/>
    </row>
    <row r="98" spans="2:22" ht="33.75">
      <c r="B98" s="106"/>
      <c r="C98" s="477"/>
      <c r="D98" s="1116" t="s">
        <v>2137</v>
      </c>
      <c r="E98" s="109" t="s">
        <v>14</v>
      </c>
      <c r="F98" s="1587"/>
      <c r="G98" s="1111">
        <v>150568708</v>
      </c>
      <c r="H98" s="109" t="s">
        <v>677</v>
      </c>
      <c r="I98" s="109" t="s">
        <v>677</v>
      </c>
      <c r="J98" s="109" t="s">
        <v>677</v>
      </c>
      <c r="K98" s="109" t="s">
        <v>677</v>
      </c>
      <c r="L98" s="109" t="s">
        <v>554</v>
      </c>
      <c r="M98" s="1112">
        <f t="shared" si="2"/>
        <v>12547392.333333334</v>
      </c>
      <c r="N98" s="1102" t="s">
        <v>2055</v>
      </c>
      <c r="O98" s="1108" t="s">
        <v>1257</v>
      </c>
      <c r="P98" s="1585"/>
      <c r="Q98" s="1108" t="s">
        <v>1257</v>
      </c>
      <c r="R98" s="1585"/>
      <c r="S98" s="1108" t="s">
        <v>1257</v>
      </c>
      <c r="T98" s="1585"/>
      <c r="U98" s="1108" t="s">
        <v>1257</v>
      </c>
      <c r="V98" s="1585"/>
    </row>
    <row r="99" spans="2:22" ht="33.75">
      <c r="B99" s="106"/>
      <c r="C99" s="477"/>
      <c r="D99" s="1116" t="s">
        <v>2069</v>
      </c>
      <c r="E99" s="109" t="s">
        <v>14</v>
      </c>
      <c r="F99" s="1587"/>
      <c r="G99" s="1111">
        <v>150568708</v>
      </c>
      <c r="H99" s="109" t="s">
        <v>677</v>
      </c>
      <c r="I99" s="109" t="s">
        <v>677</v>
      </c>
      <c r="J99" s="109" t="s">
        <v>677</v>
      </c>
      <c r="K99" s="109" t="s">
        <v>677</v>
      </c>
      <c r="L99" s="109" t="s">
        <v>554</v>
      </c>
      <c r="M99" s="1112">
        <f t="shared" si="2"/>
        <v>12547392.333333334</v>
      </c>
      <c r="N99" s="1102" t="s">
        <v>2055</v>
      </c>
      <c r="O99" s="1108" t="s">
        <v>1257</v>
      </c>
      <c r="P99" s="1585"/>
      <c r="Q99" s="1108" t="s">
        <v>1257</v>
      </c>
      <c r="R99" s="1585"/>
      <c r="S99" s="1108" t="s">
        <v>1257</v>
      </c>
      <c r="T99" s="1585"/>
      <c r="U99" s="1108" t="s">
        <v>1257</v>
      </c>
      <c r="V99" s="1585"/>
    </row>
    <row r="100" spans="2:22" ht="33.75">
      <c r="B100" s="106"/>
      <c r="C100" s="477"/>
      <c r="D100" s="1116" t="s">
        <v>2070</v>
      </c>
      <c r="E100" s="109" t="s">
        <v>14</v>
      </c>
      <c r="F100" s="1587"/>
      <c r="G100" s="1111">
        <v>75179937</v>
      </c>
      <c r="H100" s="109" t="s">
        <v>677</v>
      </c>
      <c r="I100" s="109" t="s">
        <v>677</v>
      </c>
      <c r="J100" s="109" t="s">
        <v>677</v>
      </c>
      <c r="K100" s="109" t="s">
        <v>677</v>
      </c>
      <c r="L100" s="109" t="s">
        <v>554</v>
      </c>
      <c r="M100" s="1112">
        <f t="shared" si="2"/>
        <v>6264994.75</v>
      </c>
      <c r="N100" s="1102" t="s">
        <v>2055</v>
      </c>
      <c r="O100" s="1108" t="s">
        <v>1257</v>
      </c>
      <c r="P100" s="1585"/>
      <c r="Q100" s="1108" t="s">
        <v>1257</v>
      </c>
      <c r="R100" s="1585"/>
      <c r="S100" s="1108" t="s">
        <v>1257</v>
      </c>
      <c r="T100" s="1585"/>
      <c r="U100" s="1108" t="s">
        <v>1257</v>
      </c>
      <c r="V100" s="1585"/>
    </row>
    <row r="101" spans="2:22" ht="33.75">
      <c r="B101" s="106"/>
      <c r="C101" s="477"/>
      <c r="D101" s="1116" t="s">
        <v>2071</v>
      </c>
      <c r="E101" s="109" t="s">
        <v>14</v>
      </c>
      <c r="F101" s="1587"/>
      <c r="G101" s="1111">
        <v>75179937</v>
      </c>
      <c r="H101" s="109" t="s">
        <v>677</v>
      </c>
      <c r="I101" s="109" t="s">
        <v>677</v>
      </c>
      <c r="J101" s="109" t="s">
        <v>677</v>
      </c>
      <c r="K101" s="109" t="s">
        <v>677</v>
      </c>
      <c r="L101" s="109" t="s">
        <v>554</v>
      </c>
      <c r="M101" s="1112">
        <f t="shared" si="2"/>
        <v>6264994.75</v>
      </c>
      <c r="N101" s="1102" t="s">
        <v>2055</v>
      </c>
      <c r="O101" s="1108" t="s">
        <v>1257</v>
      </c>
      <c r="P101" s="1585"/>
      <c r="Q101" s="1108" t="s">
        <v>1257</v>
      </c>
      <c r="R101" s="1585"/>
      <c r="S101" s="1108" t="s">
        <v>1257</v>
      </c>
      <c r="T101" s="1585"/>
      <c r="U101" s="1108" t="s">
        <v>1257</v>
      </c>
      <c r="V101" s="1585"/>
    </row>
    <row r="102" spans="2:22" ht="33.75">
      <c r="B102" s="106"/>
      <c r="C102" s="477"/>
      <c r="D102" s="1116" t="s">
        <v>2072</v>
      </c>
      <c r="E102" s="109" t="s">
        <v>14</v>
      </c>
      <c r="F102" s="1587"/>
      <c r="G102" s="1111">
        <v>75179937</v>
      </c>
      <c r="H102" s="109" t="s">
        <v>677</v>
      </c>
      <c r="I102" s="109" t="s">
        <v>677</v>
      </c>
      <c r="J102" s="109" t="s">
        <v>677</v>
      </c>
      <c r="K102" s="109" t="s">
        <v>677</v>
      </c>
      <c r="L102" s="109" t="s">
        <v>554</v>
      </c>
      <c r="M102" s="1112">
        <f t="shared" si="2"/>
        <v>6264994.75</v>
      </c>
      <c r="N102" s="1102" t="s">
        <v>2055</v>
      </c>
      <c r="O102" s="1108" t="s">
        <v>1257</v>
      </c>
      <c r="P102" s="1585"/>
      <c r="Q102" s="1108" t="s">
        <v>1257</v>
      </c>
      <c r="R102" s="1585"/>
      <c r="S102" s="1108" t="s">
        <v>1257</v>
      </c>
      <c r="T102" s="1585"/>
      <c r="U102" s="1108" t="s">
        <v>1257</v>
      </c>
      <c r="V102" s="1585"/>
    </row>
    <row r="103" spans="2:22" ht="33.75">
      <c r="B103" s="106"/>
      <c r="C103" s="477"/>
      <c r="D103" s="1116" t="s">
        <v>2073</v>
      </c>
      <c r="E103" s="109" t="s">
        <v>14</v>
      </c>
      <c r="F103" s="1587"/>
      <c r="G103" s="1111">
        <v>75179937</v>
      </c>
      <c r="H103" s="109" t="s">
        <v>677</v>
      </c>
      <c r="I103" s="109" t="s">
        <v>677</v>
      </c>
      <c r="J103" s="109" t="s">
        <v>677</v>
      </c>
      <c r="K103" s="109" t="s">
        <v>677</v>
      </c>
      <c r="L103" s="109" t="s">
        <v>554</v>
      </c>
      <c r="M103" s="1112">
        <f t="shared" si="2"/>
        <v>6264994.75</v>
      </c>
      <c r="N103" s="1102" t="s">
        <v>2055</v>
      </c>
      <c r="O103" s="1108" t="s">
        <v>1257</v>
      </c>
      <c r="P103" s="1585"/>
      <c r="Q103" s="1108" t="s">
        <v>1257</v>
      </c>
      <c r="R103" s="1585"/>
      <c r="S103" s="1108" t="s">
        <v>1257</v>
      </c>
      <c r="T103" s="1585"/>
      <c r="U103" s="1108" t="s">
        <v>1257</v>
      </c>
      <c r="V103" s="1585"/>
    </row>
    <row r="104" spans="2:22" ht="33.75">
      <c r="B104" s="106"/>
      <c r="C104" s="477"/>
      <c r="D104" s="1116" t="s">
        <v>2138</v>
      </c>
      <c r="E104" s="109" t="s">
        <v>14</v>
      </c>
      <c r="F104" s="1587"/>
      <c r="G104" s="1111">
        <v>75179937</v>
      </c>
      <c r="H104" s="109" t="s">
        <v>677</v>
      </c>
      <c r="I104" s="109" t="s">
        <v>677</v>
      </c>
      <c r="J104" s="109" t="s">
        <v>677</v>
      </c>
      <c r="K104" s="109" t="s">
        <v>677</v>
      </c>
      <c r="L104" s="109" t="s">
        <v>554</v>
      </c>
      <c r="M104" s="1112">
        <f t="shared" si="2"/>
        <v>6264994.75</v>
      </c>
      <c r="N104" s="1102" t="s">
        <v>2055</v>
      </c>
      <c r="O104" s="1108" t="s">
        <v>1257</v>
      </c>
      <c r="P104" s="1585"/>
      <c r="Q104" s="1108" t="s">
        <v>1257</v>
      </c>
      <c r="R104" s="1585"/>
      <c r="S104" s="1108" t="s">
        <v>1257</v>
      </c>
      <c r="T104" s="1585"/>
      <c r="U104" s="1108" t="s">
        <v>1257</v>
      </c>
      <c r="V104" s="1585"/>
    </row>
    <row r="105" spans="2:22" ht="33.75">
      <c r="B105" s="106"/>
      <c r="C105" s="477"/>
      <c r="D105" s="1116" t="s">
        <v>2139</v>
      </c>
      <c r="E105" s="109" t="s">
        <v>14</v>
      </c>
      <c r="F105" s="1587"/>
      <c r="G105" s="1111">
        <v>75179937</v>
      </c>
      <c r="H105" s="109" t="s">
        <v>677</v>
      </c>
      <c r="I105" s="109" t="s">
        <v>677</v>
      </c>
      <c r="J105" s="109" t="s">
        <v>677</v>
      </c>
      <c r="K105" s="109" t="s">
        <v>677</v>
      </c>
      <c r="L105" s="109" t="s">
        <v>554</v>
      </c>
      <c r="M105" s="1112">
        <f t="shared" si="2"/>
        <v>6264994.75</v>
      </c>
      <c r="N105" s="1102" t="s">
        <v>2055</v>
      </c>
      <c r="O105" s="1108" t="s">
        <v>1257</v>
      </c>
      <c r="P105" s="1585"/>
      <c r="Q105" s="1108" t="s">
        <v>1257</v>
      </c>
      <c r="R105" s="1585"/>
      <c r="S105" s="1108" t="s">
        <v>1257</v>
      </c>
      <c r="T105" s="1585"/>
      <c r="U105" s="1108" t="s">
        <v>1257</v>
      </c>
      <c r="V105" s="1585"/>
    </row>
    <row r="106" spans="2:22" ht="33.75">
      <c r="B106" s="106"/>
      <c r="C106" s="477"/>
      <c r="D106" s="1116" t="s">
        <v>2074</v>
      </c>
      <c r="E106" s="109" t="s">
        <v>14</v>
      </c>
      <c r="F106" s="1587"/>
      <c r="G106" s="1111">
        <v>75179937</v>
      </c>
      <c r="H106" s="109" t="s">
        <v>677</v>
      </c>
      <c r="I106" s="109" t="s">
        <v>677</v>
      </c>
      <c r="J106" s="109" t="s">
        <v>677</v>
      </c>
      <c r="K106" s="109" t="s">
        <v>677</v>
      </c>
      <c r="L106" s="109" t="s">
        <v>554</v>
      </c>
      <c r="M106" s="1112">
        <f t="shared" si="2"/>
        <v>6264994.75</v>
      </c>
      <c r="N106" s="1102" t="s">
        <v>2055</v>
      </c>
      <c r="O106" s="1108" t="s">
        <v>1257</v>
      </c>
      <c r="P106" s="1585"/>
      <c r="Q106" s="1108" t="s">
        <v>1257</v>
      </c>
      <c r="R106" s="1585"/>
      <c r="S106" s="1108" t="s">
        <v>1257</v>
      </c>
      <c r="T106" s="1585"/>
      <c r="U106" s="1108" t="s">
        <v>1257</v>
      </c>
      <c r="V106" s="1585"/>
    </row>
    <row r="107" spans="2:22" ht="33.75">
      <c r="B107" s="106"/>
      <c r="C107" s="477"/>
      <c r="D107" s="1116" t="s">
        <v>2140</v>
      </c>
      <c r="E107" s="109" t="s">
        <v>14</v>
      </c>
      <c r="F107" s="1587"/>
      <c r="G107" s="1111">
        <v>75179937</v>
      </c>
      <c r="H107" s="109" t="s">
        <v>677</v>
      </c>
      <c r="I107" s="109" t="s">
        <v>677</v>
      </c>
      <c r="J107" s="109" t="s">
        <v>677</v>
      </c>
      <c r="K107" s="109" t="s">
        <v>677</v>
      </c>
      <c r="L107" s="109" t="s">
        <v>554</v>
      </c>
      <c r="M107" s="1112">
        <f t="shared" si="2"/>
        <v>6264994.75</v>
      </c>
      <c r="N107" s="1102" t="s">
        <v>2055</v>
      </c>
      <c r="O107" s="1108" t="s">
        <v>1257</v>
      </c>
      <c r="P107" s="1585"/>
      <c r="Q107" s="1108" t="s">
        <v>1257</v>
      </c>
      <c r="R107" s="1585"/>
      <c r="S107" s="1108" t="s">
        <v>1257</v>
      </c>
      <c r="T107" s="1585"/>
      <c r="U107" s="1108" t="s">
        <v>1257</v>
      </c>
      <c r="V107" s="1585"/>
    </row>
    <row r="108" spans="2:22" ht="33.75">
      <c r="B108" s="106"/>
      <c r="C108" s="477"/>
      <c r="D108" s="1116" t="s">
        <v>2141</v>
      </c>
      <c r="E108" s="109" t="s">
        <v>14</v>
      </c>
      <c r="F108" s="1587"/>
      <c r="G108" s="1111">
        <v>75179937</v>
      </c>
      <c r="H108" s="109" t="s">
        <v>677</v>
      </c>
      <c r="I108" s="109" t="s">
        <v>677</v>
      </c>
      <c r="J108" s="109" t="s">
        <v>677</v>
      </c>
      <c r="K108" s="109" t="s">
        <v>677</v>
      </c>
      <c r="L108" s="109" t="s">
        <v>554</v>
      </c>
      <c r="M108" s="1112">
        <f t="shared" si="2"/>
        <v>6264994.75</v>
      </c>
      <c r="N108" s="1102" t="s">
        <v>2055</v>
      </c>
      <c r="O108" s="1108" t="s">
        <v>1257</v>
      </c>
      <c r="P108" s="1585"/>
      <c r="Q108" s="1108" t="s">
        <v>1257</v>
      </c>
      <c r="R108" s="1585"/>
      <c r="S108" s="1108" t="s">
        <v>1257</v>
      </c>
      <c r="T108" s="1585"/>
      <c r="U108" s="1108" t="s">
        <v>1257</v>
      </c>
      <c r="V108" s="1585"/>
    </row>
    <row r="109" spans="2:22" ht="33.75">
      <c r="B109" s="106"/>
      <c r="C109" s="477"/>
      <c r="D109" s="1116" t="s">
        <v>2142</v>
      </c>
      <c r="E109" s="109" t="s">
        <v>14</v>
      </c>
      <c r="F109" s="1587"/>
      <c r="G109" s="1111">
        <v>73995999</v>
      </c>
      <c r="H109" s="109" t="s">
        <v>677</v>
      </c>
      <c r="I109" s="109" t="s">
        <v>677</v>
      </c>
      <c r="J109" s="109" t="s">
        <v>677</v>
      </c>
      <c r="K109" s="109" t="s">
        <v>677</v>
      </c>
      <c r="L109" s="109" t="s">
        <v>554</v>
      </c>
      <c r="M109" s="1112">
        <f t="shared" si="2"/>
        <v>6166333.25</v>
      </c>
      <c r="N109" s="1102" t="s">
        <v>2055</v>
      </c>
      <c r="O109" s="1108" t="s">
        <v>1257</v>
      </c>
      <c r="P109" s="1585"/>
      <c r="Q109" s="1108" t="s">
        <v>1257</v>
      </c>
      <c r="R109" s="1585"/>
      <c r="S109" s="1108" t="s">
        <v>1257</v>
      </c>
      <c r="T109" s="1585"/>
      <c r="U109" s="1108" t="s">
        <v>1257</v>
      </c>
      <c r="V109" s="1585"/>
    </row>
    <row r="110" spans="2:22" ht="33.75">
      <c r="B110" s="106"/>
      <c r="C110" s="477"/>
      <c r="D110" s="1116" t="s">
        <v>2143</v>
      </c>
      <c r="E110" s="109" t="s">
        <v>14</v>
      </c>
      <c r="F110" s="1587"/>
      <c r="G110" s="1111">
        <v>267061694</v>
      </c>
      <c r="H110" s="109" t="s">
        <v>677</v>
      </c>
      <c r="I110" s="109" t="s">
        <v>677</v>
      </c>
      <c r="J110" s="109" t="s">
        <v>677</v>
      </c>
      <c r="K110" s="109" t="s">
        <v>677</v>
      </c>
      <c r="L110" s="109" t="s">
        <v>554</v>
      </c>
      <c r="M110" s="1112">
        <f t="shared" si="2"/>
        <v>22255141.166666668</v>
      </c>
      <c r="N110" s="1102" t="s">
        <v>2055</v>
      </c>
      <c r="O110" s="1108" t="s">
        <v>1257</v>
      </c>
      <c r="P110" s="1585"/>
      <c r="Q110" s="1108" t="s">
        <v>1257</v>
      </c>
      <c r="R110" s="1585"/>
      <c r="S110" s="1108" t="s">
        <v>1257</v>
      </c>
      <c r="T110" s="1585"/>
      <c r="U110" s="1108" t="s">
        <v>1257</v>
      </c>
      <c r="V110" s="1585"/>
    </row>
    <row r="111" spans="2:22" ht="33.75">
      <c r="B111" s="106"/>
      <c r="C111" s="477"/>
      <c r="D111" s="1116" t="s">
        <v>2144</v>
      </c>
      <c r="E111" s="109" t="s">
        <v>14</v>
      </c>
      <c r="F111" s="1587"/>
      <c r="G111" s="1111">
        <v>451079625</v>
      </c>
      <c r="H111" s="109" t="s">
        <v>677</v>
      </c>
      <c r="I111" s="109" t="s">
        <v>677</v>
      </c>
      <c r="J111" s="109" t="s">
        <v>677</v>
      </c>
      <c r="K111" s="109" t="s">
        <v>677</v>
      </c>
      <c r="L111" s="109" t="s">
        <v>554</v>
      </c>
      <c r="M111" s="1112">
        <f t="shared" si="2"/>
        <v>37589968.75</v>
      </c>
      <c r="N111" s="1102" t="s">
        <v>2055</v>
      </c>
      <c r="O111" s="1108" t="s">
        <v>1257</v>
      </c>
      <c r="P111" s="1585"/>
      <c r="Q111" s="1108" t="s">
        <v>1257</v>
      </c>
      <c r="R111" s="1585"/>
      <c r="S111" s="1108" t="s">
        <v>1257</v>
      </c>
      <c r="T111" s="1585"/>
      <c r="U111" s="1108" t="s">
        <v>1257</v>
      </c>
      <c r="V111" s="1585"/>
    </row>
    <row r="112" spans="2:22" ht="33.75">
      <c r="B112" s="106"/>
      <c r="C112" s="477"/>
      <c r="D112" s="1116" t="s">
        <v>2145</v>
      </c>
      <c r="E112" s="109" t="s">
        <v>14</v>
      </c>
      <c r="F112" s="1587"/>
      <c r="G112" s="1111">
        <v>75179937</v>
      </c>
      <c r="H112" s="109" t="s">
        <v>677</v>
      </c>
      <c r="I112" s="109" t="s">
        <v>677</v>
      </c>
      <c r="J112" s="109" t="s">
        <v>677</v>
      </c>
      <c r="K112" s="109" t="s">
        <v>677</v>
      </c>
      <c r="L112" s="109" t="s">
        <v>554</v>
      </c>
      <c r="M112" s="1112">
        <f t="shared" si="2"/>
        <v>6264994.75</v>
      </c>
      <c r="N112" s="1102" t="s">
        <v>2055</v>
      </c>
      <c r="O112" s="1108" t="s">
        <v>1257</v>
      </c>
      <c r="P112" s="1585"/>
      <c r="Q112" s="1108" t="s">
        <v>1257</v>
      </c>
      <c r="R112" s="1585"/>
      <c r="S112" s="1108" t="s">
        <v>1257</v>
      </c>
      <c r="T112" s="1585"/>
      <c r="U112" s="1108" t="s">
        <v>1257</v>
      </c>
      <c r="V112" s="1585"/>
    </row>
    <row r="113" spans="2:22" ht="33.75">
      <c r="B113" s="106"/>
      <c r="C113" s="477"/>
      <c r="D113" s="1116" t="s">
        <v>2093</v>
      </c>
      <c r="E113" s="109" t="s">
        <v>14</v>
      </c>
      <c r="F113" s="1587"/>
      <c r="G113" s="1111">
        <v>300719750</v>
      </c>
      <c r="H113" s="109" t="s">
        <v>677</v>
      </c>
      <c r="I113" s="109" t="s">
        <v>677</v>
      </c>
      <c r="J113" s="109" t="s">
        <v>677</v>
      </c>
      <c r="K113" s="109" t="s">
        <v>677</v>
      </c>
      <c r="L113" s="109" t="s">
        <v>554</v>
      </c>
      <c r="M113" s="1112">
        <f t="shared" si="2"/>
        <v>25059979.166666668</v>
      </c>
      <c r="N113" s="1102" t="s">
        <v>2055</v>
      </c>
      <c r="O113" s="1108" t="s">
        <v>1257</v>
      </c>
      <c r="P113" s="1585"/>
      <c r="Q113" s="1108" t="s">
        <v>1257</v>
      </c>
      <c r="R113" s="1585"/>
      <c r="S113" s="1108" t="s">
        <v>1257</v>
      </c>
      <c r="T113" s="1585"/>
      <c r="U113" s="1108" t="s">
        <v>1257</v>
      </c>
      <c r="V113" s="1585"/>
    </row>
    <row r="114" spans="2:22" ht="33.75">
      <c r="B114" s="106"/>
      <c r="C114" s="477"/>
      <c r="D114" s="1116" t="s">
        <v>2146</v>
      </c>
      <c r="E114" s="109" t="s">
        <v>14</v>
      </c>
      <c r="F114" s="1587"/>
      <c r="G114" s="1111">
        <v>150359875</v>
      </c>
      <c r="H114" s="109" t="s">
        <v>677</v>
      </c>
      <c r="I114" s="109" t="s">
        <v>677</v>
      </c>
      <c r="J114" s="109" t="s">
        <v>677</v>
      </c>
      <c r="K114" s="109" t="s">
        <v>677</v>
      </c>
      <c r="L114" s="109" t="s">
        <v>554</v>
      </c>
      <c r="M114" s="1112">
        <f t="shared" si="2"/>
        <v>12529989.583333334</v>
      </c>
      <c r="N114" s="1102" t="s">
        <v>2055</v>
      </c>
      <c r="O114" s="1108" t="s">
        <v>1257</v>
      </c>
      <c r="P114" s="1585"/>
      <c r="Q114" s="1108" t="s">
        <v>1257</v>
      </c>
      <c r="R114" s="1585"/>
      <c r="S114" s="1108" t="s">
        <v>1257</v>
      </c>
      <c r="T114" s="1585"/>
      <c r="U114" s="1108" t="s">
        <v>1257</v>
      </c>
      <c r="V114" s="1585"/>
    </row>
    <row r="115" spans="2:22" ht="33.75">
      <c r="B115" s="106"/>
      <c r="C115" s="477"/>
      <c r="D115" s="1116" t="s">
        <v>2147</v>
      </c>
      <c r="E115" s="109" t="s">
        <v>14</v>
      </c>
      <c r="F115" s="1587"/>
      <c r="G115" s="1111">
        <v>75179937</v>
      </c>
      <c r="H115" s="109" t="s">
        <v>677</v>
      </c>
      <c r="I115" s="109" t="s">
        <v>677</v>
      </c>
      <c r="J115" s="109" t="s">
        <v>677</v>
      </c>
      <c r="K115" s="109" t="s">
        <v>677</v>
      </c>
      <c r="L115" s="109" t="s">
        <v>554</v>
      </c>
      <c r="M115" s="1112">
        <f t="shared" si="2"/>
        <v>6264994.75</v>
      </c>
      <c r="N115" s="1102" t="s">
        <v>2055</v>
      </c>
      <c r="O115" s="1108" t="s">
        <v>1257</v>
      </c>
      <c r="P115" s="1585"/>
      <c r="Q115" s="1108" t="s">
        <v>1257</v>
      </c>
      <c r="R115" s="1585"/>
      <c r="S115" s="1108" t="s">
        <v>1257</v>
      </c>
      <c r="T115" s="1585"/>
      <c r="U115" s="1108" t="s">
        <v>1257</v>
      </c>
      <c r="V115" s="1585"/>
    </row>
    <row r="116" spans="2:22" ht="33.75">
      <c r="B116" s="106"/>
      <c r="C116" s="477"/>
      <c r="D116" s="1116" t="s">
        <v>2148</v>
      </c>
      <c r="E116" s="109" t="s">
        <v>14</v>
      </c>
      <c r="F116" s="1587"/>
      <c r="G116" s="1111">
        <v>225539812</v>
      </c>
      <c r="H116" s="109" t="s">
        <v>677</v>
      </c>
      <c r="I116" s="109" t="s">
        <v>677</v>
      </c>
      <c r="J116" s="109" t="s">
        <v>677</v>
      </c>
      <c r="K116" s="109" t="s">
        <v>677</v>
      </c>
      <c r="L116" s="109" t="s">
        <v>554</v>
      </c>
      <c r="M116" s="1112">
        <f t="shared" si="2"/>
        <v>18794984.333333332</v>
      </c>
      <c r="N116" s="1102" t="s">
        <v>2055</v>
      </c>
      <c r="O116" s="1108" t="s">
        <v>1257</v>
      </c>
      <c r="P116" s="1585"/>
      <c r="Q116" s="1108" t="s">
        <v>1257</v>
      </c>
      <c r="R116" s="1585"/>
      <c r="S116" s="1108" t="s">
        <v>1257</v>
      </c>
      <c r="T116" s="1585"/>
      <c r="U116" s="1108" t="s">
        <v>1257</v>
      </c>
      <c r="V116" s="1585"/>
    </row>
    <row r="117" spans="2:22" ht="33.75">
      <c r="B117" s="106"/>
      <c r="C117" s="477"/>
      <c r="D117" s="1116" t="s">
        <v>2149</v>
      </c>
      <c r="E117" s="109" t="s">
        <v>14</v>
      </c>
      <c r="F117" s="1587"/>
      <c r="G117" s="1111">
        <v>75179937</v>
      </c>
      <c r="H117" s="109" t="s">
        <v>677</v>
      </c>
      <c r="I117" s="109" t="s">
        <v>677</v>
      </c>
      <c r="J117" s="109" t="s">
        <v>677</v>
      </c>
      <c r="K117" s="109" t="s">
        <v>677</v>
      </c>
      <c r="L117" s="109" t="s">
        <v>554</v>
      </c>
      <c r="M117" s="1112">
        <f t="shared" si="2"/>
        <v>6264994.75</v>
      </c>
      <c r="N117" s="1102" t="s">
        <v>2055</v>
      </c>
      <c r="O117" s="1108" t="s">
        <v>1257</v>
      </c>
      <c r="P117" s="1585"/>
      <c r="Q117" s="1108" t="s">
        <v>1257</v>
      </c>
      <c r="R117" s="1585"/>
      <c r="S117" s="1108" t="s">
        <v>1257</v>
      </c>
      <c r="T117" s="1585"/>
      <c r="U117" s="1108" t="s">
        <v>1257</v>
      </c>
      <c r="V117" s="1585"/>
    </row>
    <row r="118" spans="2:22" ht="33.75">
      <c r="B118" s="106"/>
      <c r="C118" s="477"/>
      <c r="D118" s="1116" t="s">
        <v>2105</v>
      </c>
      <c r="E118" s="109" t="s">
        <v>14</v>
      </c>
      <c r="F118" s="1587"/>
      <c r="G118" s="1111">
        <v>75179937</v>
      </c>
      <c r="H118" s="109" t="s">
        <v>677</v>
      </c>
      <c r="I118" s="109" t="s">
        <v>677</v>
      </c>
      <c r="J118" s="109" t="s">
        <v>677</v>
      </c>
      <c r="K118" s="109" t="s">
        <v>677</v>
      </c>
      <c r="L118" s="109" t="s">
        <v>554</v>
      </c>
      <c r="M118" s="1112">
        <f t="shared" si="2"/>
        <v>6264994.75</v>
      </c>
      <c r="N118" s="1102" t="s">
        <v>2055</v>
      </c>
      <c r="O118" s="1108" t="s">
        <v>1257</v>
      </c>
      <c r="P118" s="1585"/>
      <c r="Q118" s="1108" t="s">
        <v>1257</v>
      </c>
      <c r="R118" s="1585"/>
      <c r="S118" s="1108" t="s">
        <v>1257</v>
      </c>
      <c r="T118" s="1585"/>
      <c r="U118" s="1108" t="s">
        <v>1257</v>
      </c>
      <c r="V118" s="1585"/>
    </row>
    <row r="119" spans="2:22" ht="33.75">
      <c r="B119" s="106"/>
      <c r="C119" s="477"/>
      <c r="D119" s="1116" t="s">
        <v>2150</v>
      </c>
      <c r="E119" s="109" t="s">
        <v>14</v>
      </c>
      <c r="F119" s="1587"/>
      <c r="G119" s="1111">
        <v>75179937</v>
      </c>
      <c r="H119" s="109" t="s">
        <v>677</v>
      </c>
      <c r="I119" s="109" t="s">
        <v>677</v>
      </c>
      <c r="J119" s="109" t="s">
        <v>677</v>
      </c>
      <c r="K119" s="109" t="s">
        <v>677</v>
      </c>
      <c r="L119" s="109" t="s">
        <v>554</v>
      </c>
      <c r="M119" s="1112">
        <f t="shared" si="2"/>
        <v>6264994.75</v>
      </c>
      <c r="N119" s="1102" t="s">
        <v>2055</v>
      </c>
      <c r="O119" s="1108" t="s">
        <v>1257</v>
      </c>
      <c r="P119" s="1585"/>
      <c r="Q119" s="1108" t="s">
        <v>1257</v>
      </c>
      <c r="R119" s="1585"/>
      <c r="S119" s="1108" t="s">
        <v>1257</v>
      </c>
      <c r="T119" s="1585"/>
      <c r="U119" s="1108" t="s">
        <v>1257</v>
      </c>
      <c r="V119" s="1585"/>
    </row>
    <row r="120" spans="2:22" ht="33.75">
      <c r="B120" s="106"/>
      <c r="C120" s="477"/>
      <c r="D120" s="1116" t="s">
        <v>2151</v>
      </c>
      <c r="E120" s="109" t="s">
        <v>14</v>
      </c>
      <c r="F120" s="1587"/>
      <c r="G120" s="1111">
        <v>75179937</v>
      </c>
      <c r="H120" s="109" t="s">
        <v>677</v>
      </c>
      <c r="I120" s="109" t="s">
        <v>677</v>
      </c>
      <c r="J120" s="109" t="s">
        <v>677</v>
      </c>
      <c r="K120" s="109" t="s">
        <v>677</v>
      </c>
      <c r="L120" s="109" t="s">
        <v>554</v>
      </c>
      <c r="M120" s="1112">
        <f t="shared" si="2"/>
        <v>6264994.75</v>
      </c>
      <c r="N120" s="1102" t="s">
        <v>2055</v>
      </c>
      <c r="O120" s="1108" t="s">
        <v>1257</v>
      </c>
      <c r="P120" s="1585"/>
      <c r="Q120" s="1108" t="s">
        <v>1257</v>
      </c>
      <c r="R120" s="1585"/>
      <c r="S120" s="1108" t="s">
        <v>1257</v>
      </c>
      <c r="T120" s="1585"/>
      <c r="U120" s="1108" t="s">
        <v>1257</v>
      </c>
      <c r="V120" s="1585"/>
    </row>
    <row r="121" spans="2:22" ht="33.75">
      <c r="B121" s="106"/>
      <c r="C121" s="477"/>
      <c r="D121" s="1116" t="s">
        <v>2152</v>
      </c>
      <c r="E121" s="109" t="s">
        <v>14</v>
      </c>
      <c r="F121" s="1587"/>
      <c r="G121" s="1111">
        <v>451079625</v>
      </c>
      <c r="H121" s="109" t="s">
        <v>677</v>
      </c>
      <c r="I121" s="109" t="s">
        <v>677</v>
      </c>
      <c r="J121" s="109" t="s">
        <v>677</v>
      </c>
      <c r="K121" s="109" t="s">
        <v>677</v>
      </c>
      <c r="L121" s="109" t="s">
        <v>554</v>
      </c>
      <c r="M121" s="1112">
        <f t="shared" si="2"/>
        <v>37589968.75</v>
      </c>
      <c r="N121" s="1102" t="s">
        <v>2055</v>
      </c>
      <c r="O121" s="1108" t="s">
        <v>1257</v>
      </c>
      <c r="P121" s="1585"/>
      <c r="Q121" s="1108" t="s">
        <v>1257</v>
      </c>
      <c r="R121" s="1585"/>
      <c r="S121" s="1108" t="s">
        <v>1257</v>
      </c>
      <c r="T121" s="1585"/>
      <c r="U121" s="1108" t="s">
        <v>1257</v>
      </c>
      <c r="V121" s="1585"/>
    </row>
    <row r="122" spans="2:22" ht="33.75">
      <c r="B122" s="106"/>
      <c r="C122" s="477"/>
      <c r="D122" s="1116" t="s">
        <v>399</v>
      </c>
      <c r="E122" s="109" t="s">
        <v>14</v>
      </c>
      <c r="F122" s="1587"/>
      <c r="G122" s="1111">
        <v>75179937</v>
      </c>
      <c r="H122" s="109" t="s">
        <v>677</v>
      </c>
      <c r="I122" s="109" t="s">
        <v>677</v>
      </c>
      <c r="J122" s="109" t="s">
        <v>677</v>
      </c>
      <c r="K122" s="109" t="s">
        <v>677</v>
      </c>
      <c r="L122" s="109" t="s">
        <v>554</v>
      </c>
      <c r="M122" s="1112">
        <f t="shared" si="2"/>
        <v>6264994.75</v>
      </c>
      <c r="N122" s="1102" t="s">
        <v>2055</v>
      </c>
      <c r="O122" s="1108" t="s">
        <v>1257</v>
      </c>
      <c r="P122" s="1585"/>
      <c r="Q122" s="1108" t="s">
        <v>1257</v>
      </c>
      <c r="R122" s="1585"/>
      <c r="S122" s="1108" t="s">
        <v>1257</v>
      </c>
      <c r="T122" s="1585"/>
      <c r="U122" s="1108" t="s">
        <v>1257</v>
      </c>
      <c r="V122" s="1585"/>
    </row>
    <row r="123" spans="2:22" ht="33.75">
      <c r="B123" s="106"/>
      <c r="C123" s="477"/>
      <c r="D123" s="1116" t="s">
        <v>2153</v>
      </c>
      <c r="E123" s="109" t="s">
        <v>14</v>
      </c>
      <c r="F123" s="1587"/>
      <c r="G123" s="1111">
        <v>75179937</v>
      </c>
      <c r="H123" s="109" t="s">
        <v>677</v>
      </c>
      <c r="I123" s="109" t="s">
        <v>677</v>
      </c>
      <c r="J123" s="109" t="s">
        <v>677</v>
      </c>
      <c r="K123" s="109" t="s">
        <v>677</v>
      </c>
      <c r="L123" s="109" t="s">
        <v>554</v>
      </c>
      <c r="M123" s="1112">
        <f t="shared" si="2"/>
        <v>6264994.75</v>
      </c>
      <c r="N123" s="1102" t="s">
        <v>2055</v>
      </c>
      <c r="O123" s="1108" t="s">
        <v>1257</v>
      </c>
      <c r="P123" s="1585"/>
      <c r="Q123" s="1108" t="s">
        <v>1257</v>
      </c>
      <c r="R123" s="1585"/>
      <c r="S123" s="1108" t="s">
        <v>1257</v>
      </c>
      <c r="T123" s="1585"/>
      <c r="U123" s="1108" t="s">
        <v>1257</v>
      </c>
      <c r="V123" s="1585"/>
    </row>
    <row r="124" spans="2:22" ht="33.75">
      <c r="B124" s="106"/>
      <c r="C124" s="477"/>
      <c r="D124" s="1116" t="s">
        <v>766</v>
      </c>
      <c r="E124" s="109" t="s">
        <v>14</v>
      </c>
      <c r="F124" s="1587"/>
      <c r="G124" s="1111">
        <v>75179937</v>
      </c>
      <c r="H124" s="109" t="s">
        <v>677</v>
      </c>
      <c r="I124" s="109" t="s">
        <v>677</v>
      </c>
      <c r="J124" s="109" t="s">
        <v>677</v>
      </c>
      <c r="K124" s="109" t="s">
        <v>677</v>
      </c>
      <c r="L124" s="109" t="s">
        <v>554</v>
      </c>
      <c r="M124" s="1112">
        <f t="shared" si="2"/>
        <v>6264994.75</v>
      </c>
      <c r="N124" s="1102" t="s">
        <v>2055</v>
      </c>
      <c r="O124" s="1108" t="s">
        <v>1257</v>
      </c>
      <c r="P124" s="1585"/>
      <c r="Q124" s="1108" t="s">
        <v>1257</v>
      </c>
      <c r="R124" s="1585"/>
      <c r="S124" s="1108" t="s">
        <v>1257</v>
      </c>
      <c r="T124" s="1585"/>
      <c r="U124" s="1108" t="s">
        <v>1257</v>
      </c>
      <c r="V124" s="1585"/>
    </row>
    <row r="125" spans="2:22" ht="33.75">
      <c r="B125" s="106"/>
      <c r="C125" s="477"/>
      <c r="D125" s="1116" t="s">
        <v>2154</v>
      </c>
      <c r="E125" s="109" t="s">
        <v>14</v>
      </c>
      <c r="F125" s="1587"/>
      <c r="G125" s="1111">
        <v>75179937</v>
      </c>
      <c r="H125" s="109" t="s">
        <v>677</v>
      </c>
      <c r="I125" s="109" t="s">
        <v>677</v>
      </c>
      <c r="J125" s="109" t="s">
        <v>677</v>
      </c>
      <c r="K125" s="109" t="s">
        <v>677</v>
      </c>
      <c r="L125" s="109" t="s">
        <v>554</v>
      </c>
      <c r="M125" s="1112">
        <f t="shared" si="2"/>
        <v>6264994.75</v>
      </c>
      <c r="N125" s="1102" t="s">
        <v>2055</v>
      </c>
      <c r="O125" s="1108" t="s">
        <v>1257</v>
      </c>
      <c r="P125" s="1585"/>
      <c r="Q125" s="1108" t="s">
        <v>1257</v>
      </c>
      <c r="R125" s="1585"/>
      <c r="S125" s="1108" t="s">
        <v>1257</v>
      </c>
      <c r="T125" s="1585"/>
      <c r="U125" s="1108" t="s">
        <v>1257</v>
      </c>
      <c r="V125" s="1585"/>
    </row>
    <row r="126" spans="2:22" ht="33.75">
      <c r="B126" s="106"/>
      <c r="C126" s="477"/>
      <c r="D126" s="1116" t="s">
        <v>2155</v>
      </c>
      <c r="E126" s="109" t="s">
        <v>14</v>
      </c>
      <c r="F126" s="1587"/>
      <c r="G126" s="1111">
        <v>75179937</v>
      </c>
      <c r="H126" s="109" t="s">
        <v>677</v>
      </c>
      <c r="I126" s="109" t="s">
        <v>677</v>
      </c>
      <c r="J126" s="109" t="s">
        <v>677</v>
      </c>
      <c r="K126" s="109" t="s">
        <v>677</v>
      </c>
      <c r="L126" s="109" t="s">
        <v>554</v>
      </c>
      <c r="M126" s="1112">
        <f t="shared" si="2"/>
        <v>6264994.75</v>
      </c>
      <c r="N126" s="1102" t="s">
        <v>2055</v>
      </c>
      <c r="O126" s="1108" t="s">
        <v>1257</v>
      </c>
      <c r="P126" s="1586"/>
      <c r="Q126" s="1108" t="s">
        <v>1257</v>
      </c>
      <c r="R126" s="1586"/>
      <c r="S126" s="1108" t="s">
        <v>1257</v>
      </c>
      <c r="T126" s="1586"/>
      <c r="U126" s="1108" t="s">
        <v>1257</v>
      </c>
      <c r="V126" s="1586"/>
    </row>
    <row r="127" spans="2:22" ht="23.25" thickBot="1">
      <c r="B127" s="476" t="s">
        <v>2156</v>
      </c>
      <c r="C127" s="1091">
        <f>SUM(G128:G181)</f>
        <v>2446999999.6991682</v>
      </c>
      <c r="D127" s="106"/>
      <c r="E127" s="109"/>
      <c r="F127" s="1118"/>
      <c r="G127" s="1119"/>
      <c r="H127" s="1120"/>
      <c r="I127" s="1120"/>
      <c r="J127" s="1120"/>
      <c r="K127" s="1120"/>
      <c r="L127" s="1120"/>
      <c r="M127" s="1121"/>
      <c r="N127" s="1122"/>
      <c r="O127" s="1123"/>
      <c r="P127" s="1124"/>
      <c r="Q127" s="1125"/>
      <c r="R127" s="1126"/>
      <c r="S127" s="1125"/>
      <c r="T127" s="1124"/>
      <c r="U127" s="1125"/>
      <c r="V127" s="1124"/>
    </row>
    <row r="128" spans="2:22" ht="12" thickTop="1">
      <c r="B128" s="121"/>
      <c r="C128" s="477"/>
      <c r="D128" s="1116" t="s">
        <v>0</v>
      </c>
      <c r="E128" s="109" t="s">
        <v>14</v>
      </c>
      <c r="F128" s="1596" t="s">
        <v>2157</v>
      </c>
      <c r="G128" s="1127">
        <v>450000000</v>
      </c>
      <c r="H128" s="1128" t="s">
        <v>4</v>
      </c>
      <c r="I128" s="1128" t="s">
        <v>6</v>
      </c>
      <c r="J128" s="1128" t="s">
        <v>677</v>
      </c>
      <c r="K128" s="1128" t="s">
        <v>677</v>
      </c>
      <c r="L128" s="1128" t="s">
        <v>2158</v>
      </c>
      <c r="M128" s="1129">
        <f>G128/4</f>
        <v>112500000</v>
      </c>
      <c r="N128" s="1130"/>
      <c r="O128" s="1131"/>
      <c r="P128" s="1132"/>
      <c r="Q128" s="1133"/>
      <c r="R128" s="1134"/>
      <c r="S128" s="1133"/>
      <c r="T128" s="1132"/>
      <c r="U128" s="1133"/>
      <c r="V128" s="1132"/>
    </row>
    <row r="129" spans="2:22">
      <c r="B129" s="106"/>
      <c r="C129" s="477"/>
      <c r="D129" s="1116" t="s">
        <v>685</v>
      </c>
      <c r="E129" s="109" t="s">
        <v>14</v>
      </c>
      <c r="F129" s="1587"/>
      <c r="G129" s="1111">
        <v>40000000</v>
      </c>
      <c r="H129" s="109" t="s">
        <v>4</v>
      </c>
      <c r="I129" s="109" t="s">
        <v>6</v>
      </c>
      <c r="J129" s="109" t="s">
        <v>677</v>
      </c>
      <c r="K129" s="109" t="s">
        <v>677</v>
      </c>
      <c r="L129" s="109" t="s">
        <v>2158</v>
      </c>
      <c r="M129" s="1135">
        <f t="shared" ref="M129:M181" si="3">G129/4</f>
        <v>10000000</v>
      </c>
      <c r="O129" s="1108"/>
      <c r="P129" s="1109"/>
      <c r="Q129" s="1110"/>
      <c r="R129" s="525"/>
      <c r="S129" s="1110"/>
      <c r="T129" s="1109"/>
      <c r="U129" s="1110"/>
      <c r="V129" s="1109"/>
    </row>
    <row r="130" spans="2:22">
      <c r="B130" s="106"/>
      <c r="C130" s="477"/>
      <c r="D130" s="1116" t="s">
        <v>787</v>
      </c>
      <c r="E130" s="109" t="s">
        <v>14</v>
      </c>
      <c r="F130" s="1587"/>
      <c r="G130" s="1111">
        <v>30000000</v>
      </c>
      <c r="H130" s="109" t="s">
        <v>4</v>
      </c>
      <c r="I130" s="109" t="s">
        <v>6</v>
      </c>
      <c r="J130" s="109" t="s">
        <v>677</v>
      </c>
      <c r="K130" s="109" t="s">
        <v>677</v>
      </c>
      <c r="L130" s="109" t="s">
        <v>2158</v>
      </c>
      <c r="M130" s="1135">
        <f t="shared" si="3"/>
        <v>7500000</v>
      </c>
      <c r="O130" s="1108"/>
      <c r="P130" s="1109"/>
      <c r="Q130" s="1110"/>
      <c r="R130" s="525"/>
      <c r="S130" s="1110"/>
      <c r="T130" s="1109"/>
      <c r="U130" s="1110"/>
      <c r="V130" s="1109"/>
    </row>
    <row r="131" spans="2:22">
      <c r="B131" s="106"/>
      <c r="C131" s="477"/>
      <c r="D131" s="1116" t="s">
        <v>424</v>
      </c>
      <c r="E131" s="109" t="s">
        <v>14</v>
      </c>
      <c r="F131" s="1587"/>
      <c r="G131" s="1111">
        <v>30000000</v>
      </c>
      <c r="H131" s="109" t="s">
        <v>4</v>
      </c>
      <c r="I131" s="109" t="s">
        <v>6</v>
      </c>
      <c r="J131" s="109" t="s">
        <v>677</v>
      </c>
      <c r="K131" s="109" t="s">
        <v>677</v>
      </c>
      <c r="L131" s="109" t="s">
        <v>2158</v>
      </c>
      <c r="M131" s="1135">
        <f t="shared" si="3"/>
        <v>7500000</v>
      </c>
      <c r="O131" s="1108"/>
      <c r="P131" s="1109"/>
      <c r="Q131" s="1110"/>
      <c r="R131" s="525"/>
      <c r="S131" s="1110"/>
      <c r="T131" s="1109"/>
      <c r="U131" s="1110"/>
      <c r="V131" s="1109"/>
    </row>
    <row r="132" spans="2:22">
      <c r="B132" s="106"/>
      <c r="C132" s="477"/>
      <c r="D132" s="1116" t="s">
        <v>80</v>
      </c>
      <c r="E132" s="109" t="s">
        <v>14</v>
      </c>
      <c r="F132" s="1587"/>
      <c r="G132" s="1111">
        <v>30000000</v>
      </c>
      <c r="H132" s="109" t="s">
        <v>4</v>
      </c>
      <c r="I132" s="109" t="s">
        <v>6</v>
      </c>
      <c r="J132" s="109" t="s">
        <v>677</v>
      </c>
      <c r="K132" s="109" t="s">
        <v>677</v>
      </c>
      <c r="L132" s="109" t="s">
        <v>2158</v>
      </c>
      <c r="M132" s="1135">
        <f t="shared" si="3"/>
        <v>7500000</v>
      </c>
      <c r="O132" s="1108"/>
      <c r="P132" s="1109"/>
      <c r="Q132" s="1110"/>
      <c r="R132" s="525"/>
      <c r="S132" s="1110"/>
      <c r="T132" s="1109"/>
      <c r="U132" s="1110"/>
      <c r="V132" s="1109"/>
    </row>
    <row r="133" spans="2:22">
      <c r="B133" s="106"/>
      <c r="C133" s="477"/>
      <c r="D133" s="1116" t="s">
        <v>389</v>
      </c>
      <c r="E133" s="109" t="s">
        <v>14</v>
      </c>
      <c r="F133" s="1587"/>
      <c r="G133" s="1111">
        <v>30000000</v>
      </c>
      <c r="H133" s="109" t="s">
        <v>4</v>
      </c>
      <c r="I133" s="109" t="s">
        <v>6</v>
      </c>
      <c r="J133" s="109" t="s">
        <v>677</v>
      </c>
      <c r="K133" s="109" t="s">
        <v>677</v>
      </c>
      <c r="L133" s="109" t="s">
        <v>2158</v>
      </c>
      <c r="M133" s="1135">
        <f t="shared" si="3"/>
        <v>7500000</v>
      </c>
      <c r="O133" s="1108"/>
      <c r="P133" s="1109"/>
      <c r="Q133" s="1110"/>
      <c r="R133" s="525"/>
      <c r="S133" s="1110"/>
      <c r="T133" s="1109"/>
      <c r="U133" s="1110"/>
      <c r="V133" s="1109"/>
    </row>
    <row r="134" spans="2:22">
      <c r="B134" s="106"/>
      <c r="C134" s="477"/>
      <c r="D134" s="1116" t="s">
        <v>496</v>
      </c>
      <c r="E134" s="109" t="s">
        <v>14</v>
      </c>
      <c r="F134" s="1587"/>
      <c r="G134" s="1111">
        <v>30000000</v>
      </c>
      <c r="H134" s="109" t="s">
        <v>4</v>
      </c>
      <c r="I134" s="109" t="s">
        <v>6</v>
      </c>
      <c r="J134" s="109" t="s">
        <v>677</v>
      </c>
      <c r="K134" s="109" t="s">
        <v>677</v>
      </c>
      <c r="L134" s="109" t="s">
        <v>2158</v>
      </c>
      <c r="M134" s="1135">
        <f t="shared" si="3"/>
        <v>7500000</v>
      </c>
      <c r="O134" s="1108"/>
      <c r="P134" s="1109"/>
      <c r="Q134" s="1110"/>
      <c r="R134" s="525"/>
      <c r="S134" s="1110"/>
      <c r="T134" s="1109"/>
      <c r="U134" s="1110"/>
      <c r="V134" s="1109"/>
    </row>
    <row r="135" spans="2:22">
      <c r="B135" s="106"/>
      <c r="C135" s="477"/>
      <c r="D135" s="1116" t="s">
        <v>582</v>
      </c>
      <c r="E135" s="109" t="s">
        <v>14</v>
      </c>
      <c r="F135" s="1587"/>
      <c r="G135" s="1111">
        <v>4500000</v>
      </c>
      <c r="H135" s="109" t="s">
        <v>4</v>
      </c>
      <c r="I135" s="109" t="s">
        <v>6</v>
      </c>
      <c r="J135" s="109" t="s">
        <v>677</v>
      </c>
      <c r="K135" s="109" t="s">
        <v>677</v>
      </c>
      <c r="L135" s="109" t="s">
        <v>2158</v>
      </c>
      <c r="M135" s="1135">
        <f t="shared" si="3"/>
        <v>1125000</v>
      </c>
      <c r="O135" s="1108"/>
      <c r="P135" s="1109"/>
      <c r="Q135" s="1110"/>
      <c r="R135" s="525"/>
      <c r="S135" s="1110"/>
      <c r="T135" s="1109"/>
      <c r="U135" s="1110"/>
      <c r="V135" s="1109"/>
    </row>
    <row r="136" spans="2:22" ht="11.25" customHeight="1">
      <c r="B136" s="106"/>
      <c r="C136" s="477"/>
      <c r="D136" s="1116" t="s">
        <v>577</v>
      </c>
      <c r="E136" s="109" t="s">
        <v>14</v>
      </c>
      <c r="F136" s="1587"/>
      <c r="G136" s="1111">
        <v>4500000</v>
      </c>
      <c r="H136" s="109" t="s">
        <v>4</v>
      </c>
      <c r="I136" s="109" t="s">
        <v>6</v>
      </c>
      <c r="J136" s="109" t="s">
        <v>677</v>
      </c>
      <c r="K136" s="109" t="s">
        <v>677</v>
      </c>
      <c r="L136" s="109" t="s">
        <v>2158</v>
      </c>
      <c r="M136" s="1135">
        <f t="shared" si="3"/>
        <v>1125000</v>
      </c>
      <c r="O136" s="1108" t="s">
        <v>1363</v>
      </c>
      <c r="P136" s="1597" t="s">
        <v>2159</v>
      </c>
      <c r="Q136" s="1108" t="s">
        <v>1363</v>
      </c>
      <c r="R136" s="1597" t="s">
        <v>2160</v>
      </c>
      <c r="S136" s="1110" t="s">
        <v>1257</v>
      </c>
      <c r="T136" s="1597" t="s">
        <v>2161</v>
      </c>
      <c r="U136" s="1110" t="s">
        <v>1257</v>
      </c>
      <c r="V136" s="1597" t="s">
        <v>2162</v>
      </c>
    </row>
    <row r="137" spans="2:22" ht="15" customHeight="1">
      <c r="B137" s="106"/>
      <c r="C137" s="477"/>
      <c r="D137" s="1116" t="s">
        <v>2163</v>
      </c>
      <c r="E137" s="109" t="s">
        <v>14</v>
      </c>
      <c r="F137" s="1587"/>
      <c r="G137" s="1111">
        <v>4500000</v>
      </c>
      <c r="H137" s="109" t="s">
        <v>4</v>
      </c>
      <c r="I137" s="109" t="s">
        <v>6</v>
      </c>
      <c r="J137" s="109" t="s">
        <v>677</v>
      </c>
      <c r="K137" s="109" t="s">
        <v>677</v>
      </c>
      <c r="L137" s="109" t="s">
        <v>2158</v>
      </c>
      <c r="M137" s="1135">
        <f t="shared" si="3"/>
        <v>1125000</v>
      </c>
      <c r="O137" s="1108" t="s">
        <v>1363</v>
      </c>
      <c r="P137" s="1598"/>
      <c r="Q137" s="1108" t="s">
        <v>1363</v>
      </c>
      <c r="R137" s="1598"/>
      <c r="S137" s="1110" t="s">
        <v>1257</v>
      </c>
      <c r="T137" s="1598"/>
      <c r="U137" s="1110" t="s">
        <v>1257</v>
      </c>
      <c r="V137" s="1598"/>
    </row>
    <row r="138" spans="2:22" ht="15" customHeight="1">
      <c r="B138" s="106"/>
      <c r="C138" s="477"/>
      <c r="D138" s="1116" t="s">
        <v>753</v>
      </c>
      <c r="E138" s="109" t="s">
        <v>14</v>
      </c>
      <c r="F138" s="1587"/>
      <c r="G138" s="1111">
        <v>4500000</v>
      </c>
      <c r="H138" s="109" t="s">
        <v>4</v>
      </c>
      <c r="I138" s="109" t="s">
        <v>6</v>
      </c>
      <c r="J138" s="109" t="s">
        <v>677</v>
      </c>
      <c r="K138" s="109" t="s">
        <v>677</v>
      </c>
      <c r="L138" s="109" t="s">
        <v>2158</v>
      </c>
      <c r="M138" s="1135">
        <f t="shared" si="3"/>
        <v>1125000</v>
      </c>
      <c r="O138" s="1108" t="s">
        <v>1363</v>
      </c>
      <c r="P138" s="1598"/>
      <c r="Q138" s="1108" t="s">
        <v>1363</v>
      </c>
      <c r="R138" s="1598"/>
      <c r="S138" s="1110" t="s">
        <v>1257</v>
      </c>
      <c r="T138" s="1598"/>
      <c r="U138" s="1110" t="s">
        <v>1257</v>
      </c>
      <c r="V138" s="1598"/>
    </row>
    <row r="139" spans="2:22" ht="15" customHeight="1">
      <c r="B139" s="106"/>
      <c r="C139" s="477"/>
      <c r="D139" s="1116" t="s">
        <v>114</v>
      </c>
      <c r="E139" s="109" t="s">
        <v>14</v>
      </c>
      <c r="F139" s="1587"/>
      <c r="G139" s="1111">
        <v>32000000</v>
      </c>
      <c r="H139" s="109" t="s">
        <v>4</v>
      </c>
      <c r="I139" s="109" t="s">
        <v>6</v>
      </c>
      <c r="J139" s="109" t="s">
        <v>677</v>
      </c>
      <c r="K139" s="109" t="s">
        <v>677</v>
      </c>
      <c r="L139" s="109" t="s">
        <v>2158</v>
      </c>
      <c r="M139" s="1135">
        <f t="shared" si="3"/>
        <v>8000000</v>
      </c>
      <c r="O139" s="1108" t="s">
        <v>1363</v>
      </c>
      <c r="P139" s="1598"/>
      <c r="Q139" s="1108" t="s">
        <v>1363</v>
      </c>
      <c r="R139" s="1598"/>
      <c r="S139" s="1110" t="s">
        <v>1257</v>
      </c>
      <c r="T139" s="1598"/>
      <c r="U139" s="1110" t="s">
        <v>1257</v>
      </c>
      <c r="V139" s="1598"/>
    </row>
    <row r="140" spans="2:22" ht="15" customHeight="1">
      <c r="B140" s="106"/>
      <c r="C140" s="477"/>
      <c r="D140" s="1116" t="s">
        <v>111</v>
      </c>
      <c r="E140" s="109" t="s">
        <v>14</v>
      </c>
      <c r="F140" s="1587"/>
      <c r="G140" s="1111">
        <v>4500000</v>
      </c>
      <c r="H140" s="109" t="s">
        <v>4</v>
      </c>
      <c r="I140" s="109" t="s">
        <v>6</v>
      </c>
      <c r="J140" s="109" t="s">
        <v>677</v>
      </c>
      <c r="K140" s="109" t="s">
        <v>677</v>
      </c>
      <c r="L140" s="109" t="s">
        <v>2158</v>
      </c>
      <c r="M140" s="1135">
        <f t="shared" si="3"/>
        <v>1125000</v>
      </c>
      <c r="O140" s="1108" t="s">
        <v>1363</v>
      </c>
      <c r="P140" s="1598"/>
      <c r="Q140" s="1108" t="s">
        <v>1363</v>
      </c>
      <c r="R140" s="1598"/>
      <c r="S140" s="1110" t="s">
        <v>1257</v>
      </c>
      <c r="T140" s="1598"/>
      <c r="U140" s="1110" t="s">
        <v>1257</v>
      </c>
      <c r="V140" s="1598"/>
    </row>
    <row r="141" spans="2:22" ht="15" customHeight="1">
      <c r="B141" s="106"/>
      <c r="C141" s="477"/>
      <c r="D141" s="1116" t="s">
        <v>109</v>
      </c>
      <c r="E141" s="109" t="s">
        <v>14</v>
      </c>
      <c r="F141" s="1587"/>
      <c r="G141" s="1111">
        <v>30000000</v>
      </c>
      <c r="H141" s="109" t="s">
        <v>4</v>
      </c>
      <c r="I141" s="109" t="s">
        <v>6</v>
      </c>
      <c r="J141" s="109" t="s">
        <v>677</v>
      </c>
      <c r="K141" s="109" t="s">
        <v>677</v>
      </c>
      <c r="L141" s="109" t="s">
        <v>2158</v>
      </c>
      <c r="M141" s="1135">
        <f t="shared" si="3"/>
        <v>7500000</v>
      </c>
      <c r="O141" s="1108" t="s">
        <v>1363</v>
      </c>
      <c r="P141" s="1598"/>
      <c r="Q141" s="1108" t="s">
        <v>1363</v>
      </c>
      <c r="R141" s="1598"/>
      <c r="S141" s="1110" t="s">
        <v>1257</v>
      </c>
      <c r="T141" s="1598"/>
      <c r="U141" s="1110" t="s">
        <v>1257</v>
      </c>
      <c r="V141" s="1598"/>
    </row>
    <row r="142" spans="2:22" ht="15" customHeight="1">
      <c r="B142" s="106"/>
      <c r="C142" s="477"/>
      <c r="D142" s="1116" t="s">
        <v>108</v>
      </c>
      <c r="E142" s="109" t="s">
        <v>14</v>
      </c>
      <c r="F142" s="1587"/>
      <c r="G142" s="1111">
        <v>30000000</v>
      </c>
      <c r="H142" s="109" t="s">
        <v>4</v>
      </c>
      <c r="I142" s="109" t="s">
        <v>6</v>
      </c>
      <c r="J142" s="109" t="s">
        <v>677</v>
      </c>
      <c r="K142" s="109" t="s">
        <v>677</v>
      </c>
      <c r="L142" s="109" t="s">
        <v>2158</v>
      </c>
      <c r="M142" s="1135">
        <f t="shared" si="3"/>
        <v>7500000</v>
      </c>
      <c r="O142" s="1108" t="s">
        <v>1363</v>
      </c>
      <c r="P142" s="1598"/>
      <c r="Q142" s="1108" t="s">
        <v>1363</v>
      </c>
      <c r="R142" s="1598"/>
      <c r="S142" s="1110" t="s">
        <v>1257</v>
      </c>
      <c r="T142" s="1598"/>
      <c r="U142" s="1110" t="s">
        <v>1257</v>
      </c>
      <c r="V142" s="1598"/>
    </row>
    <row r="143" spans="2:22" ht="15" customHeight="1">
      <c r="B143" s="106"/>
      <c r="C143" s="477"/>
      <c r="D143" s="1116" t="s">
        <v>112</v>
      </c>
      <c r="E143" s="109" t="s">
        <v>14</v>
      </c>
      <c r="F143" s="1587"/>
      <c r="G143" s="1111">
        <v>30000000</v>
      </c>
      <c r="H143" s="109" t="s">
        <v>4</v>
      </c>
      <c r="I143" s="109" t="s">
        <v>6</v>
      </c>
      <c r="J143" s="109" t="s">
        <v>677</v>
      </c>
      <c r="K143" s="109" t="s">
        <v>677</v>
      </c>
      <c r="L143" s="109" t="s">
        <v>2158</v>
      </c>
      <c r="M143" s="1135">
        <f t="shared" si="3"/>
        <v>7500000</v>
      </c>
      <c r="O143" s="1108" t="s">
        <v>1363</v>
      </c>
      <c r="P143" s="1598"/>
      <c r="Q143" s="1108" t="s">
        <v>1363</v>
      </c>
      <c r="R143" s="1598"/>
      <c r="S143" s="1110" t="s">
        <v>1257</v>
      </c>
      <c r="T143" s="1598"/>
      <c r="U143" s="1110" t="s">
        <v>1257</v>
      </c>
      <c r="V143" s="1598"/>
    </row>
    <row r="144" spans="2:22" ht="15" customHeight="1">
      <c r="B144" s="106"/>
      <c r="C144" s="477"/>
      <c r="D144" s="1116" t="s">
        <v>113</v>
      </c>
      <c r="E144" s="109" t="s">
        <v>14</v>
      </c>
      <c r="F144" s="1587"/>
      <c r="G144" s="1111">
        <v>30000000</v>
      </c>
      <c r="H144" s="109" t="s">
        <v>4</v>
      </c>
      <c r="I144" s="109" t="s">
        <v>6</v>
      </c>
      <c r="J144" s="109" t="s">
        <v>677</v>
      </c>
      <c r="K144" s="109" t="s">
        <v>677</v>
      </c>
      <c r="L144" s="109" t="s">
        <v>2158</v>
      </c>
      <c r="M144" s="1135">
        <f t="shared" si="3"/>
        <v>7500000</v>
      </c>
      <c r="O144" s="1108" t="s">
        <v>1363</v>
      </c>
      <c r="P144" s="1598"/>
      <c r="Q144" s="1108" t="s">
        <v>1363</v>
      </c>
      <c r="R144" s="1598"/>
      <c r="S144" s="1110" t="s">
        <v>1257</v>
      </c>
      <c r="T144" s="1598"/>
      <c r="U144" s="1110" t="s">
        <v>1257</v>
      </c>
      <c r="V144" s="1598"/>
    </row>
    <row r="145" spans="2:22" ht="15" customHeight="1">
      <c r="B145" s="106"/>
      <c r="C145" s="477"/>
      <c r="D145" s="1116" t="s">
        <v>110</v>
      </c>
      <c r="E145" s="109" t="s">
        <v>14</v>
      </c>
      <c r="F145" s="1587"/>
      <c r="G145" s="1111">
        <v>30000000</v>
      </c>
      <c r="H145" s="109" t="s">
        <v>4</v>
      </c>
      <c r="I145" s="109" t="s">
        <v>6</v>
      </c>
      <c r="J145" s="109" t="s">
        <v>677</v>
      </c>
      <c r="K145" s="109" t="s">
        <v>677</v>
      </c>
      <c r="L145" s="109" t="s">
        <v>2158</v>
      </c>
      <c r="M145" s="1135">
        <f t="shared" si="3"/>
        <v>7500000</v>
      </c>
      <c r="O145" s="1108" t="s">
        <v>1363</v>
      </c>
      <c r="P145" s="1598"/>
      <c r="Q145" s="1108" t="s">
        <v>1363</v>
      </c>
      <c r="R145" s="1598"/>
      <c r="S145" s="1110" t="s">
        <v>1257</v>
      </c>
      <c r="T145" s="1598"/>
      <c r="U145" s="1110" t="s">
        <v>1257</v>
      </c>
      <c r="V145" s="1598"/>
    </row>
    <row r="146" spans="2:22" ht="15" customHeight="1">
      <c r="B146" s="106"/>
      <c r="C146" s="477"/>
      <c r="D146" s="1116" t="s">
        <v>768</v>
      </c>
      <c r="E146" s="109" t="s">
        <v>14</v>
      </c>
      <c r="F146" s="1587"/>
      <c r="G146" s="1111">
        <v>30000000</v>
      </c>
      <c r="H146" s="109" t="s">
        <v>4</v>
      </c>
      <c r="I146" s="109" t="s">
        <v>6</v>
      </c>
      <c r="J146" s="109" t="s">
        <v>677</v>
      </c>
      <c r="K146" s="109" t="s">
        <v>677</v>
      </c>
      <c r="L146" s="109" t="s">
        <v>2158</v>
      </c>
      <c r="M146" s="1135">
        <f t="shared" si="3"/>
        <v>7500000</v>
      </c>
      <c r="O146" s="1108" t="s">
        <v>1363</v>
      </c>
      <c r="P146" s="1598"/>
      <c r="Q146" s="1108" t="s">
        <v>1363</v>
      </c>
      <c r="R146" s="1598"/>
      <c r="S146" s="1110" t="s">
        <v>1257</v>
      </c>
      <c r="T146" s="1598"/>
      <c r="U146" s="1110" t="s">
        <v>1257</v>
      </c>
      <c r="V146" s="1598"/>
    </row>
    <row r="147" spans="2:22" ht="15" customHeight="1">
      <c r="B147" s="106"/>
      <c r="C147" s="477"/>
      <c r="D147" s="1116" t="s">
        <v>809</v>
      </c>
      <c r="E147" s="109" t="s">
        <v>14</v>
      </c>
      <c r="F147" s="1587"/>
      <c r="G147" s="1111">
        <v>30000000</v>
      </c>
      <c r="H147" s="109" t="s">
        <v>4</v>
      </c>
      <c r="I147" s="109" t="s">
        <v>6</v>
      </c>
      <c r="J147" s="109" t="s">
        <v>677</v>
      </c>
      <c r="K147" s="109" t="s">
        <v>677</v>
      </c>
      <c r="L147" s="109" t="s">
        <v>2158</v>
      </c>
      <c r="M147" s="1135">
        <f t="shared" si="3"/>
        <v>7500000</v>
      </c>
      <c r="O147" s="1108" t="s">
        <v>1363</v>
      </c>
      <c r="P147" s="1598"/>
      <c r="Q147" s="1108" t="s">
        <v>1363</v>
      </c>
      <c r="R147" s="1598"/>
      <c r="S147" s="1110" t="s">
        <v>1257</v>
      </c>
      <c r="T147" s="1598"/>
      <c r="U147" s="1110" t="s">
        <v>1257</v>
      </c>
      <c r="V147" s="1598"/>
    </row>
    <row r="148" spans="2:22" ht="15" customHeight="1">
      <c r="B148" s="106"/>
      <c r="C148" s="477"/>
      <c r="D148" s="1116" t="s">
        <v>491</v>
      </c>
      <c r="E148" s="109" t="s">
        <v>14</v>
      </c>
      <c r="F148" s="1587"/>
      <c r="G148" s="1111">
        <v>30000000</v>
      </c>
      <c r="H148" s="109" t="s">
        <v>4</v>
      </c>
      <c r="I148" s="109" t="s">
        <v>6</v>
      </c>
      <c r="J148" s="109" t="s">
        <v>677</v>
      </c>
      <c r="K148" s="109" t="s">
        <v>677</v>
      </c>
      <c r="L148" s="109" t="s">
        <v>2158</v>
      </c>
      <c r="M148" s="1135">
        <f t="shared" si="3"/>
        <v>7500000</v>
      </c>
      <c r="O148" s="1108" t="s">
        <v>1363</v>
      </c>
      <c r="P148" s="1598"/>
      <c r="Q148" s="1108" t="s">
        <v>1363</v>
      </c>
      <c r="R148" s="1598"/>
      <c r="S148" s="1110" t="s">
        <v>1257</v>
      </c>
      <c r="T148" s="1598"/>
      <c r="U148" s="1110" t="s">
        <v>1257</v>
      </c>
      <c r="V148" s="1598"/>
    </row>
    <row r="149" spans="2:22" ht="15.75" customHeight="1" thickBot="1">
      <c r="B149" s="106"/>
      <c r="C149" s="477"/>
      <c r="D149" s="1116" t="s">
        <v>2164</v>
      </c>
      <c r="E149" s="109" t="s">
        <v>14</v>
      </c>
      <c r="F149" s="1595"/>
      <c r="G149" s="1136">
        <v>30000000</v>
      </c>
      <c r="H149" s="1137" t="s">
        <v>4</v>
      </c>
      <c r="I149" s="1137" t="s">
        <v>6</v>
      </c>
      <c r="J149" s="1137" t="s">
        <v>677</v>
      </c>
      <c r="K149" s="1137" t="s">
        <v>677</v>
      </c>
      <c r="L149" s="1137" t="s">
        <v>2158</v>
      </c>
      <c r="M149" s="1138">
        <f t="shared" si="3"/>
        <v>7500000</v>
      </c>
      <c r="N149" s="1139"/>
      <c r="O149" s="1140" t="s">
        <v>1363</v>
      </c>
      <c r="P149" s="1599"/>
      <c r="Q149" s="1108" t="s">
        <v>1363</v>
      </c>
      <c r="R149" s="1599"/>
      <c r="S149" s="1110" t="s">
        <v>1257</v>
      </c>
      <c r="T149" s="1599"/>
      <c r="U149" s="1110" t="s">
        <v>1257</v>
      </c>
      <c r="V149" s="1599"/>
    </row>
    <row r="150" spans="2:22" ht="12" customHeight="1" thickTop="1">
      <c r="B150" s="106"/>
      <c r="C150" s="477"/>
      <c r="D150" s="1116" t="s">
        <v>0</v>
      </c>
      <c r="E150" s="109" t="s">
        <v>14</v>
      </c>
      <c r="F150" s="1535" t="s">
        <v>2165</v>
      </c>
      <c r="G150" s="1141">
        <v>494173740.26902401</v>
      </c>
      <c r="H150" s="1142" t="s">
        <v>4</v>
      </c>
      <c r="I150" s="1142" t="s">
        <v>6</v>
      </c>
      <c r="J150" s="1142" t="s">
        <v>677</v>
      </c>
      <c r="K150" s="1142" t="s">
        <v>677</v>
      </c>
      <c r="L150" s="1142" t="s">
        <v>2158</v>
      </c>
      <c r="M150" s="1143">
        <f t="shared" si="3"/>
        <v>123543435.067256</v>
      </c>
      <c r="N150" s="1144"/>
      <c r="O150" s="1145" t="s">
        <v>1363</v>
      </c>
      <c r="P150" s="1584" t="s">
        <v>2159</v>
      </c>
      <c r="Q150" s="1108" t="s">
        <v>1363</v>
      </c>
      <c r="R150" s="1584" t="s">
        <v>2160</v>
      </c>
      <c r="S150" s="1110" t="s">
        <v>1257</v>
      </c>
      <c r="T150" s="1584" t="s">
        <v>2161</v>
      </c>
      <c r="U150" s="1110" t="s">
        <v>1257</v>
      </c>
      <c r="V150" s="1584" t="s">
        <v>2166</v>
      </c>
    </row>
    <row r="151" spans="2:22" ht="15" customHeight="1">
      <c r="B151" s="106"/>
      <c r="C151" s="477"/>
      <c r="D151" s="1116" t="s">
        <v>685</v>
      </c>
      <c r="E151" s="109" t="s">
        <v>14</v>
      </c>
      <c r="F151" s="1587"/>
      <c r="G151" s="1111">
        <v>50000000</v>
      </c>
      <c r="H151" s="109" t="s">
        <v>4</v>
      </c>
      <c r="I151" s="109" t="s">
        <v>6</v>
      </c>
      <c r="J151" s="109" t="s">
        <v>677</v>
      </c>
      <c r="K151" s="109" t="s">
        <v>677</v>
      </c>
      <c r="L151" s="109" t="s">
        <v>2158</v>
      </c>
      <c r="M151" s="1135">
        <f t="shared" si="3"/>
        <v>12500000</v>
      </c>
      <c r="O151" s="1145" t="s">
        <v>1363</v>
      </c>
      <c r="P151" s="1585"/>
      <c r="Q151" s="1108" t="s">
        <v>1363</v>
      </c>
      <c r="R151" s="1585"/>
      <c r="S151" s="1110" t="s">
        <v>1257</v>
      </c>
      <c r="T151" s="1585"/>
      <c r="U151" s="1110" t="s">
        <v>1257</v>
      </c>
      <c r="V151" s="1585"/>
    </row>
    <row r="152" spans="2:22" ht="15" customHeight="1">
      <c r="B152" s="106"/>
      <c r="C152" s="477"/>
      <c r="D152" s="1116" t="s">
        <v>80</v>
      </c>
      <c r="E152" s="109" t="s">
        <v>14</v>
      </c>
      <c r="F152" s="1587"/>
      <c r="G152" s="1111">
        <v>20000000</v>
      </c>
      <c r="H152" s="109" t="s">
        <v>4</v>
      </c>
      <c r="I152" s="109" t="s">
        <v>6</v>
      </c>
      <c r="J152" s="109" t="s">
        <v>677</v>
      </c>
      <c r="K152" s="109" t="s">
        <v>677</v>
      </c>
      <c r="L152" s="109" t="s">
        <v>2158</v>
      </c>
      <c r="M152" s="1135">
        <f t="shared" si="3"/>
        <v>5000000</v>
      </c>
      <c r="O152" s="1145" t="s">
        <v>1363</v>
      </c>
      <c r="P152" s="1585"/>
      <c r="Q152" s="1108" t="s">
        <v>1363</v>
      </c>
      <c r="R152" s="1585"/>
      <c r="S152" s="1110" t="s">
        <v>1257</v>
      </c>
      <c r="T152" s="1585"/>
      <c r="U152" s="1110" t="s">
        <v>1257</v>
      </c>
      <c r="V152" s="1585"/>
    </row>
    <row r="153" spans="2:22" ht="15" customHeight="1">
      <c r="B153" s="106"/>
      <c r="C153" s="477"/>
      <c r="D153" s="1116" t="s">
        <v>496</v>
      </c>
      <c r="E153" s="109" t="s">
        <v>14</v>
      </c>
      <c r="F153" s="1587"/>
      <c r="G153" s="1111">
        <v>20000000</v>
      </c>
      <c r="H153" s="109" t="s">
        <v>4</v>
      </c>
      <c r="I153" s="109" t="s">
        <v>6</v>
      </c>
      <c r="J153" s="109" t="s">
        <v>677</v>
      </c>
      <c r="K153" s="109" t="s">
        <v>677</v>
      </c>
      <c r="L153" s="109" t="s">
        <v>2158</v>
      </c>
      <c r="M153" s="1135">
        <f t="shared" si="3"/>
        <v>5000000</v>
      </c>
      <c r="O153" s="1145" t="s">
        <v>1363</v>
      </c>
      <c r="P153" s="1585"/>
      <c r="Q153" s="1108" t="s">
        <v>1363</v>
      </c>
      <c r="R153" s="1585"/>
      <c r="S153" s="1110" t="s">
        <v>1257</v>
      </c>
      <c r="T153" s="1585"/>
      <c r="U153" s="1110" t="s">
        <v>1257</v>
      </c>
      <c r="V153" s="1585"/>
    </row>
    <row r="154" spans="2:22" ht="15" customHeight="1">
      <c r="B154" s="106"/>
      <c r="C154" s="477"/>
      <c r="D154" s="1116" t="s">
        <v>2167</v>
      </c>
      <c r="E154" s="109" t="s">
        <v>14</v>
      </c>
      <c r="F154" s="1587"/>
      <c r="G154" s="1111">
        <v>30000000</v>
      </c>
      <c r="H154" s="109" t="s">
        <v>4</v>
      </c>
      <c r="I154" s="109" t="s">
        <v>6</v>
      </c>
      <c r="J154" s="109" t="s">
        <v>677</v>
      </c>
      <c r="K154" s="109" t="s">
        <v>677</v>
      </c>
      <c r="L154" s="109" t="s">
        <v>2158</v>
      </c>
      <c r="M154" s="1135">
        <f t="shared" si="3"/>
        <v>7500000</v>
      </c>
      <c r="O154" s="1145" t="s">
        <v>1363</v>
      </c>
      <c r="P154" s="1585"/>
      <c r="Q154" s="1108" t="s">
        <v>1363</v>
      </c>
      <c r="R154" s="1585"/>
      <c r="S154" s="1110" t="s">
        <v>1257</v>
      </c>
      <c r="T154" s="1585"/>
      <c r="U154" s="1110" t="s">
        <v>1257</v>
      </c>
      <c r="V154" s="1585"/>
    </row>
    <row r="155" spans="2:22" ht="15" customHeight="1">
      <c r="B155" s="106"/>
      <c r="C155" s="477"/>
      <c r="D155" s="1116" t="s">
        <v>490</v>
      </c>
      <c r="E155" s="109" t="s">
        <v>14</v>
      </c>
      <c r="F155" s="1587"/>
      <c r="G155" s="1111">
        <v>30000000</v>
      </c>
      <c r="H155" s="109" t="s">
        <v>4</v>
      </c>
      <c r="I155" s="109" t="s">
        <v>6</v>
      </c>
      <c r="J155" s="109" t="s">
        <v>677</v>
      </c>
      <c r="K155" s="109" t="s">
        <v>677</v>
      </c>
      <c r="L155" s="109" t="s">
        <v>2158</v>
      </c>
      <c r="M155" s="1135">
        <f t="shared" si="3"/>
        <v>7500000</v>
      </c>
      <c r="O155" s="1145" t="s">
        <v>1363</v>
      </c>
      <c r="P155" s="1585"/>
      <c r="Q155" s="1108" t="s">
        <v>1363</v>
      </c>
      <c r="R155" s="1585"/>
      <c r="S155" s="1110" t="s">
        <v>1257</v>
      </c>
      <c r="T155" s="1585"/>
      <c r="U155" s="1110" t="s">
        <v>1257</v>
      </c>
      <c r="V155" s="1585"/>
    </row>
    <row r="156" spans="2:22" ht="15" customHeight="1">
      <c r="B156" s="106"/>
      <c r="C156" s="477"/>
      <c r="D156" s="1116" t="s">
        <v>114</v>
      </c>
      <c r="E156" s="109" t="s">
        <v>14</v>
      </c>
      <c r="F156" s="1587"/>
      <c r="G156" s="1111">
        <v>20000000</v>
      </c>
      <c r="H156" s="109" t="s">
        <v>4</v>
      </c>
      <c r="I156" s="109" t="s">
        <v>6</v>
      </c>
      <c r="J156" s="109" t="s">
        <v>677</v>
      </c>
      <c r="K156" s="109" t="s">
        <v>677</v>
      </c>
      <c r="L156" s="109" t="s">
        <v>2158</v>
      </c>
      <c r="M156" s="1135">
        <f t="shared" si="3"/>
        <v>5000000</v>
      </c>
      <c r="O156" s="1145" t="s">
        <v>1363</v>
      </c>
      <c r="P156" s="1585"/>
      <c r="Q156" s="1108" t="s">
        <v>1363</v>
      </c>
      <c r="R156" s="1585"/>
      <c r="S156" s="1110" t="s">
        <v>1257</v>
      </c>
      <c r="T156" s="1585"/>
      <c r="U156" s="1110" t="s">
        <v>1257</v>
      </c>
      <c r="V156" s="1585"/>
    </row>
    <row r="157" spans="2:22" ht="15" customHeight="1">
      <c r="B157" s="106"/>
      <c r="C157" s="477"/>
      <c r="D157" s="1116" t="s">
        <v>109</v>
      </c>
      <c r="E157" s="109" t="s">
        <v>14</v>
      </c>
      <c r="F157" s="1587"/>
      <c r="G157" s="1111">
        <v>30326259.430144001</v>
      </c>
      <c r="H157" s="109" t="s">
        <v>4</v>
      </c>
      <c r="I157" s="109" t="s">
        <v>6</v>
      </c>
      <c r="J157" s="109" t="s">
        <v>677</v>
      </c>
      <c r="K157" s="109" t="s">
        <v>677</v>
      </c>
      <c r="L157" s="109" t="s">
        <v>2158</v>
      </c>
      <c r="M157" s="1135">
        <f t="shared" si="3"/>
        <v>7581564.8575360002</v>
      </c>
      <c r="O157" s="1145" t="s">
        <v>1363</v>
      </c>
      <c r="P157" s="1585"/>
      <c r="Q157" s="1108" t="s">
        <v>1363</v>
      </c>
      <c r="R157" s="1585"/>
      <c r="S157" s="1110" t="s">
        <v>1257</v>
      </c>
      <c r="T157" s="1585"/>
      <c r="U157" s="1110" t="s">
        <v>1257</v>
      </c>
      <c r="V157" s="1585"/>
    </row>
    <row r="158" spans="2:22" ht="15" customHeight="1">
      <c r="B158" s="106"/>
      <c r="C158" s="477"/>
      <c r="D158" s="1116" t="s">
        <v>108</v>
      </c>
      <c r="E158" s="109" t="s">
        <v>14</v>
      </c>
      <c r="F158" s="1587"/>
      <c r="G158" s="1111">
        <v>20000000</v>
      </c>
      <c r="H158" s="109" t="s">
        <v>4</v>
      </c>
      <c r="I158" s="109" t="s">
        <v>6</v>
      </c>
      <c r="J158" s="109" t="s">
        <v>677</v>
      </c>
      <c r="K158" s="109" t="s">
        <v>677</v>
      </c>
      <c r="L158" s="109" t="s">
        <v>2158</v>
      </c>
      <c r="M158" s="1135">
        <f t="shared" si="3"/>
        <v>5000000</v>
      </c>
      <c r="O158" s="1145" t="s">
        <v>1363</v>
      </c>
      <c r="P158" s="1585"/>
      <c r="Q158" s="1108" t="s">
        <v>1363</v>
      </c>
      <c r="R158" s="1585"/>
      <c r="S158" s="1110" t="s">
        <v>1257</v>
      </c>
      <c r="T158" s="1585"/>
      <c r="U158" s="1110" t="s">
        <v>1257</v>
      </c>
      <c r="V158" s="1585"/>
    </row>
    <row r="159" spans="2:22" ht="15" customHeight="1">
      <c r="B159" s="106"/>
      <c r="C159" s="477"/>
      <c r="D159" s="1116" t="s">
        <v>112</v>
      </c>
      <c r="E159" s="109" t="s">
        <v>14</v>
      </c>
      <c r="F159" s="1587"/>
      <c r="G159" s="1111">
        <v>30000000</v>
      </c>
      <c r="H159" s="109" t="s">
        <v>4</v>
      </c>
      <c r="I159" s="109" t="s">
        <v>6</v>
      </c>
      <c r="J159" s="109" t="s">
        <v>677</v>
      </c>
      <c r="K159" s="109" t="s">
        <v>677</v>
      </c>
      <c r="L159" s="109" t="s">
        <v>2158</v>
      </c>
      <c r="M159" s="1135">
        <f t="shared" si="3"/>
        <v>7500000</v>
      </c>
      <c r="O159" s="1145" t="s">
        <v>1363</v>
      </c>
      <c r="P159" s="1585"/>
      <c r="Q159" s="1108" t="s">
        <v>1363</v>
      </c>
      <c r="R159" s="1585"/>
      <c r="S159" s="1110" t="s">
        <v>1257</v>
      </c>
      <c r="T159" s="1585"/>
      <c r="U159" s="1110" t="s">
        <v>1257</v>
      </c>
      <c r="V159" s="1585"/>
    </row>
    <row r="160" spans="2:22" ht="15" customHeight="1">
      <c r="B160" s="106"/>
      <c r="C160" s="477"/>
      <c r="D160" s="1116" t="s">
        <v>113</v>
      </c>
      <c r="E160" s="109" t="s">
        <v>14</v>
      </c>
      <c r="F160" s="1587"/>
      <c r="G160" s="1111">
        <v>30000000</v>
      </c>
      <c r="H160" s="109" t="s">
        <v>4</v>
      </c>
      <c r="I160" s="109" t="s">
        <v>6</v>
      </c>
      <c r="J160" s="109" t="s">
        <v>677</v>
      </c>
      <c r="K160" s="109" t="s">
        <v>677</v>
      </c>
      <c r="L160" s="109" t="s">
        <v>2158</v>
      </c>
      <c r="M160" s="1135">
        <f t="shared" si="3"/>
        <v>7500000</v>
      </c>
      <c r="O160" s="1145" t="s">
        <v>1363</v>
      </c>
      <c r="P160" s="1585"/>
      <c r="Q160" s="1108" t="s">
        <v>1363</v>
      </c>
      <c r="R160" s="1585"/>
      <c r="S160" s="1110" t="s">
        <v>1257</v>
      </c>
      <c r="T160" s="1585"/>
      <c r="U160" s="1110" t="s">
        <v>1257</v>
      </c>
      <c r="V160" s="1585"/>
    </row>
    <row r="161" spans="2:22" ht="15" customHeight="1">
      <c r="B161" s="106"/>
      <c r="C161" s="477"/>
      <c r="D161" s="1116" t="s">
        <v>110</v>
      </c>
      <c r="E161" s="109" t="s">
        <v>14</v>
      </c>
      <c r="F161" s="1587"/>
      <c r="G161" s="1111">
        <v>30000000</v>
      </c>
      <c r="H161" s="109" t="s">
        <v>4</v>
      </c>
      <c r="I161" s="109" t="s">
        <v>6</v>
      </c>
      <c r="J161" s="109" t="s">
        <v>677</v>
      </c>
      <c r="K161" s="109" t="s">
        <v>677</v>
      </c>
      <c r="L161" s="109" t="s">
        <v>2158</v>
      </c>
      <c r="M161" s="1135">
        <f t="shared" si="3"/>
        <v>7500000</v>
      </c>
      <c r="O161" s="1145" t="s">
        <v>1363</v>
      </c>
      <c r="P161" s="1585"/>
      <c r="Q161" s="1108" t="s">
        <v>1363</v>
      </c>
      <c r="R161" s="1585"/>
      <c r="S161" s="1110" t="s">
        <v>1257</v>
      </c>
      <c r="T161" s="1585"/>
      <c r="U161" s="1110" t="s">
        <v>1257</v>
      </c>
      <c r="V161" s="1585"/>
    </row>
    <row r="162" spans="2:22" ht="15" customHeight="1">
      <c r="B162" s="106"/>
      <c r="C162" s="477"/>
      <c r="D162" s="1116" t="s">
        <v>2168</v>
      </c>
      <c r="E162" s="109" t="s">
        <v>14</v>
      </c>
      <c r="F162" s="1587"/>
      <c r="G162" s="1111">
        <v>36000000</v>
      </c>
      <c r="H162" s="109" t="s">
        <v>4</v>
      </c>
      <c r="I162" s="109" t="s">
        <v>6</v>
      </c>
      <c r="J162" s="109" t="s">
        <v>677</v>
      </c>
      <c r="K162" s="109" t="s">
        <v>677</v>
      </c>
      <c r="L162" s="109" t="s">
        <v>2158</v>
      </c>
      <c r="M162" s="1135">
        <f t="shared" si="3"/>
        <v>9000000</v>
      </c>
      <c r="O162" s="1145" t="s">
        <v>1363</v>
      </c>
      <c r="P162" s="1585"/>
      <c r="Q162" s="1108" t="s">
        <v>1363</v>
      </c>
      <c r="R162" s="1585"/>
      <c r="S162" s="1110" t="s">
        <v>1257</v>
      </c>
      <c r="T162" s="1585"/>
      <c r="U162" s="1110" t="s">
        <v>1257</v>
      </c>
      <c r="V162" s="1585"/>
    </row>
    <row r="163" spans="2:22" ht="15" customHeight="1">
      <c r="B163" s="106"/>
      <c r="C163" s="477"/>
      <c r="D163" s="1116" t="s">
        <v>491</v>
      </c>
      <c r="E163" s="109" t="s">
        <v>14</v>
      </c>
      <c r="F163" s="1587"/>
      <c r="G163" s="1111">
        <v>20000000</v>
      </c>
      <c r="H163" s="109" t="s">
        <v>4</v>
      </c>
      <c r="I163" s="109" t="s">
        <v>6</v>
      </c>
      <c r="J163" s="109" t="s">
        <v>677</v>
      </c>
      <c r="K163" s="109" t="s">
        <v>677</v>
      </c>
      <c r="L163" s="109" t="s">
        <v>2158</v>
      </c>
      <c r="M163" s="1135">
        <f t="shared" si="3"/>
        <v>5000000</v>
      </c>
      <c r="O163" s="1145" t="s">
        <v>1363</v>
      </c>
      <c r="P163" s="1585"/>
      <c r="Q163" s="1108" t="s">
        <v>1363</v>
      </c>
      <c r="R163" s="1585"/>
      <c r="S163" s="1110" t="s">
        <v>1257</v>
      </c>
      <c r="T163" s="1585"/>
      <c r="U163" s="1110" t="s">
        <v>1257</v>
      </c>
      <c r="V163" s="1585"/>
    </row>
    <row r="164" spans="2:22" s="1146" customFormat="1" ht="15.75" customHeight="1" thickBot="1">
      <c r="B164" s="1147"/>
      <c r="C164" s="1148"/>
      <c r="D164" s="1149" t="s">
        <v>2164</v>
      </c>
      <c r="E164" s="1137" t="s">
        <v>14</v>
      </c>
      <c r="F164" s="1587"/>
      <c r="G164" s="1136">
        <v>30000000</v>
      </c>
      <c r="H164" s="1137" t="s">
        <v>4</v>
      </c>
      <c r="I164" s="1137" t="s">
        <v>6</v>
      </c>
      <c r="J164" s="1137" t="s">
        <v>677</v>
      </c>
      <c r="K164" s="1137" t="s">
        <v>677</v>
      </c>
      <c r="L164" s="1137" t="s">
        <v>2158</v>
      </c>
      <c r="M164" s="1138">
        <f t="shared" si="3"/>
        <v>7500000</v>
      </c>
      <c r="N164" s="1139"/>
      <c r="O164" s="1150" t="s">
        <v>1363</v>
      </c>
      <c r="P164" s="1594"/>
      <c r="Q164" s="1108" t="s">
        <v>1363</v>
      </c>
      <c r="R164" s="1594"/>
      <c r="S164" s="1110" t="s">
        <v>1257</v>
      </c>
      <c r="T164" s="1594"/>
      <c r="U164" s="1110" t="s">
        <v>1257</v>
      </c>
      <c r="V164" s="1594"/>
    </row>
    <row r="165" spans="2:22" ht="12" customHeight="1" thickTop="1">
      <c r="B165" s="1151"/>
      <c r="C165" s="1152"/>
      <c r="D165" s="1153" t="s">
        <v>0</v>
      </c>
      <c r="E165" s="1142" t="s">
        <v>14</v>
      </c>
      <c r="F165" s="1587" t="s">
        <v>2169</v>
      </c>
      <c r="G165" s="1154">
        <v>190000000</v>
      </c>
      <c r="H165" s="1142" t="s">
        <v>4</v>
      </c>
      <c r="I165" s="1142" t="s">
        <v>6</v>
      </c>
      <c r="J165" s="1142" t="s">
        <v>677</v>
      </c>
      <c r="K165" s="1142" t="s">
        <v>677</v>
      </c>
      <c r="L165" s="1142" t="s">
        <v>2158</v>
      </c>
      <c r="M165" s="1143">
        <f t="shared" si="3"/>
        <v>47500000</v>
      </c>
      <c r="N165" s="1144"/>
      <c r="O165" s="1145" t="s">
        <v>1363</v>
      </c>
      <c r="P165" s="1584" t="s">
        <v>2159</v>
      </c>
      <c r="Q165" s="1108" t="s">
        <v>1363</v>
      </c>
      <c r="R165" s="1584" t="s">
        <v>2160</v>
      </c>
      <c r="S165" s="1155"/>
      <c r="T165" s="1584" t="s">
        <v>2161</v>
      </c>
      <c r="U165" s="1155"/>
      <c r="V165" s="1584" t="s">
        <v>2170</v>
      </c>
    </row>
    <row r="166" spans="2:22" ht="11.25" customHeight="1">
      <c r="B166" s="106"/>
      <c r="C166" s="477"/>
      <c r="D166" s="1116" t="s">
        <v>685</v>
      </c>
      <c r="E166" s="109" t="s">
        <v>14</v>
      </c>
      <c r="F166" s="1587"/>
      <c r="G166" s="1156">
        <v>10000000</v>
      </c>
      <c r="H166" s="109" t="s">
        <v>4</v>
      </c>
      <c r="I166" s="109" t="s">
        <v>6</v>
      </c>
      <c r="J166" s="109" t="s">
        <v>677</v>
      </c>
      <c r="K166" s="109" t="s">
        <v>677</v>
      </c>
      <c r="L166" s="109" t="s">
        <v>2158</v>
      </c>
      <c r="M166" s="1135">
        <f t="shared" si="3"/>
        <v>2500000</v>
      </c>
      <c r="O166" s="1145" t="s">
        <v>1363</v>
      </c>
      <c r="P166" s="1585"/>
      <c r="Q166" s="1108" t="s">
        <v>1363</v>
      </c>
      <c r="R166" s="1585"/>
      <c r="S166" s="1110"/>
      <c r="T166" s="1585"/>
      <c r="U166" s="1110"/>
      <c r="V166" s="1585"/>
    </row>
    <row r="167" spans="2:22" ht="11.25" customHeight="1">
      <c r="B167" s="106"/>
      <c r="C167" s="477"/>
      <c r="D167" s="1116" t="s">
        <v>787</v>
      </c>
      <c r="E167" s="109" t="s">
        <v>14</v>
      </c>
      <c r="F167" s="1587"/>
      <c r="G167" s="1156">
        <v>10000000</v>
      </c>
      <c r="H167" s="109" t="s">
        <v>4</v>
      </c>
      <c r="I167" s="109" t="s">
        <v>6</v>
      </c>
      <c r="J167" s="109" t="s">
        <v>677</v>
      </c>
      <c r="K167" s="109" t="s">
        <v>677</v>
      </c>
      <c r="L167" s="109" t="s">
        <v>2158</v>
      </c>
      <c r="M167" s="1135">
        <f t="shared" si="3"/>
        <v>2500000</v>
      </c>
      <c r="O167" s="1145" t="s">
        <v>1363</v>
      </c>
      <c r="P167" s="1585"/>
      <c r="Q167" s="1108" t="s">
        <v>1363</v>
      </c>
      <c r="R167" s="1585"/>
      <c r="S167" s="1110"/>
      <c r="T167" s="1585"/>
      <c r="U167" s="1110"/>
      <c r="V167" s="1585"/>
    </row>
    <row r="168" spans="2:22" ht="11.25" customHeight="1">
      <c r="B168" s="106"/>
      <c r="C168" s="477"/>
      <c r="D168" s="1116" t="s">
        <v>424</v>
      </c>
      <c r="E168" s="109" t="s">
        <v>14</v>
      </c>
      <c r="F168" s="1587"/>
      <c r="G168" s="1156">
        <v>10000000</v>
      </c>
      <c r="H168" s="109" t="s">
        <v>4</v>
      </c>
      <c r="I168" s="109" t="s">
        <v>6</v>
      </c>
      <c r="J168" s="109" t="s">
        <v>677</v>
      </c>
      <c r="K168" s="109" t="s">
        <v>677</v>
      </c>
      <c r="L168" s="109" t="s">
        <v>2158</v>
      </c>
      <c r="M168" s="1135">
        <f t="shared" si="3"/>
        <v>2500000</v>
      </c>
      <c r="O168" s="1145" t="s">
        <v>1363</v>
      </c>
      <c r="P168" s="1585"/>
      <c r="Q168" s="1108" t="s">
        <v>1363</v>
      </c>
      <c r="R168" s="1585"/>
      <c r="S168" s="1110"/>
      <c r="T168" s="1585"/>
      <c r="U168" s="1110"/>
      <c r="V168" s="1585"/>
    </row>
    <row r="169" spans="2:22" ht="11.25" customHeight="1">
      <c r="B169" s="106"/>
      <c r="C169" s="477"/>
      <c r="D169" s="1116" t="s">
        <v>80</v>
      </c>
      <c r="E169" s="109" t="s">
        <v>14</v>
      </c>
      <c r="F169" s="1587"/>
      <c r="G169" s="1156">
        <v>10000000</v>
      </c>
      <c r="H169" s="109" t="s">
        <v>4</v>
      </c>
      <c r="I169" s="109" t="s">
        <v>6</v>
      </c>
      <c r="J169" s="109" t="s">
        <v>677</v>
      </c>
      <c r="K169" s="109" t="s">
        <v>677</v>
      </c>
      <c r="L169" s="109" t="s">
        <v>2158</v>
      </c>
      <c r="M169" s="1135">
        <f t="shared" si="3"/>
        <v>2500000</v>
      </c>
      <c r="O169" s="1145" t="s">
        <v>1363</v>
      </c>
      <c r="P169" s="1585"/>
      <c r="Q169" s="1108" t="s">
        <v>1363</v>
      </c>
      <c r="R169" s="1585"/>
      <c r="S169" s="1110"/>
      <c r="T169" s="1585"/>
      <c r="U169" s="1110"/>
      <c r="V169" s="1585"/>
    </row>
    <row r="170" spans="2:22" ht="11.25" customHeight="1">
      <c r="B170" s="106"/>
      <c r="C170" s="477"/>
      <c r="D170" s="1116" t="s">
        <v>389</v>
      </c>
      <c r="E170" s="109" t="s">
        <v>14</v>
      </c>
      <c r="F170" s="1587"/>
      <c r="G170" s="1156">
        <v>10000000</v>
      </c>
      <c r="H170" s="109" t="s">
        <v>4</v>
      </c>
      <c r="I170" s="109" t="s">
        <v>6</v>
      </c>
      <c r="J170" s="109" t="s">
        <v>677</v>
      </c>
      <c r="K170" s="109" t="s">
        <v>677</v>
      </c>
      <c r="L170" s="109" t="s">
        <v>2158</v>
      </c>
      <c r="M170" s="1135">
        <f t="shared" si="3"/>
        <v>2500000</v>
      </c>
      <c r="O170" s="1145" t="s">
        <v>1363</v>
      </c>
      <c r="P170" s="1585"/>
      <c r="Q170" s="1108" t="s">
        <v>1363</v>
      </c>
      <c r="R170" s="1585"/>
      <c r="S170" s="1110"/>
      <c r="T170" s="1585"/>
      <c r="U170" s="1110"/>
      <c r="V170" s="1585"/>
    </row>
    <row r="171" spans="2:22" ht="11.25" customHeight="1">
      <c r="B171" s="106"/>
      <c r="C171" s="477"/>
      <c r="D171" s="1116" t="s">
        <v>496</v>
      </c>
      <c r="E171" s="109" t="s">
        <v>14</v>
      </c>
      <c r="F171" s="1587"/>
      <c r="G171" s="1156">
        <v>10000000</v>
      </c>
      <c r="H171" s="109" t="s">
        <v>4</v>
      </c>
      <c r="I171" s="109" t="s">
        <v>6</v>
      </c>
      <c r="J171" s="109" t="s">
        <v>677</v>
      </c>
      <c r="K171" s="109" t="s">
        <v>677</v>
      </c>
      <c r="L171" s="109" t="s">
        <v>2158</v>
      </c>
      <c r="M171" s="1135">
        <f t="shared" si="3"/>
        <v>2500000</v>
      </c>
      <c r="O171" s="1145" t="s">
        <v>1363</v>
      </c>
      <c r="P171" s="1585"/>
      <c r="Q171" s="1108" t="s">
        <v>1363</v>
      </c>
      <c r="R171" s="1585"/>
      <c r="S171" s="1110"/>
      <c r="T171" s="1585"/>
      <c r="U171" s="1110"/>
      <c r="V171" s="1585"/>
    </row>
    <row r="172" spans="2:22" ht="11.25" customHeight="1">
      <c r="B172" s="106"/>
      <c r="C172" s="477"/>
      <c r="D172" s="1116" t="s">
        <v>109</v>
      </c>
      <c r="E172" s="109" t="s">
        <v>14</v>
      </c>
      <c r="F172" s="1587"/>
      <c r="G172" s="1156">
        <v>10000000</v>
      </c>
      <c r="H172" s="109" t="s">
        <v>4</v>
      </c>
      <c r="I172" s="109" t="s">
        <v>6</v>
      </c>
      <c r="J172" s="109" t="s">
        <v>677</v>
      </c>
      <c r="K172" s="109" t="s">
        <v>677</v>
      </c>
      <c r="L172" s="109" t="s">
        <v>2158</v>
      </c>
      <c r="M172" s="1135">
        <f t="shared" si="3"/>
        <v>2500000</v>
      </c>
      <c r="O172" s="1145" t="s">
        <v>1363</v>
      </c>
      <c r="P172" s="1585"/>
      <c r="Q172" s="1108" t="s">
        <v>1363</v>
      </c>
      <c r="R172" s="1585"/>
      <c r="S172" s="1110"/>
      <c r="T172" s="1585"/>
      <c r="U172" s="1110"/>
      <c r="V172" s="1585"/>
    </row>
    <row r="173" spans="2:22" ht="11.25" customHeight="1">
      <c r="B173" s="106"/>
      <c r="C173" s="477"/>
      <c r="D173" s="1116" t="s">
        <v>108</v>
      </c>
      <c r="E173" s="109" t="s">
        <v>14</v>
      </c>
      <c r="F173" s="1587"/>
      <c r="G173" s="1156">
        <v>10000000</v>
      </c>
      <c r="H173" s="109" t="s">
        <v>4</v>
      </c>
      <c r="I173" s="109" t="s">
        <v>6</v>
      </c>
      <c r="J173" s="109" t="s">
        <v>677</v>
      </c>
      <c r="K173" s="109" t="s">
        <v>677</v>
      </c>
      <c r="L173" s="109" t="s">
        <v>2158</v>
      </c>
      <c r="M173" s="1135">
        <f t="shared" si="3"/>
        <v>2500000</v>
      </c>
      <c r="O173" s="1145" t="s">
        <v>1363</v>
      </c>
      <c r="P173" s="1585"/>
      <c r="Q173" s="1108" t="s">
        <v>1363</v>
      </c>
      <c r="R173" s="1585"/>
      <c r="S173" s="1110"/>
      <c r="T173" s="1585"/>
      <c r="U173" s="1110"/>
      <c r="V173" s="1585"/>
    </row>
    <row r="174" spans="2:22" ht="11.25" customHeight="1">
      <c r="B174" s="106"/>
      <c r="C174" s="477"/>
      <c r="D174" s="1116" t="s">
        <v>112</v>
      </c>
      <c r="E174" s="109" t="s">
        <v>14</v>
      </c>
      <c r="F174" s="1587"/>
      <c r="G174" s="1156">
        <v>10000000</v>
      </c>
      <c r="H174" s="109" t="s">
        <v>4</v>
      </c>
      <c r="I174" s="109" t="s">
        <v>6</v>
      </c>
      <c r="J174" s="109" t="s">
        <v>677</v>
      </c>
      <c r="K174" s="109" t="s">
        <v>677</v>
      </c>
      <c r="L174" s="109" t="s">
        <v>2158</v>
      </c>
      <c r="M174" s="1135">
        <f t="shared" si="3"/>
        <v>2500000</v>
      </c>
      <c r="O174" s="1145" t="s">
        <v>1363</v>
      </c>
      <c r="P174" s="1585"/>
      <c r="Q174" s="1108" t="s">
        <v>1363</v>
      </c>
      <c r="R174" s="1585"/>
      <c r="S174" s="1110"/>
      <c r="T174" s="1585"/>
      <c r="U174" s="1110"/>
      <c r="V174" s="1585"/>
    </row>
    <row r="175" spans="2:22" ht="11.25" customHeight="1">
      <c r="B175" s="106"/>
      <c r="C175" s="477"/>
      <c r="D175" s="1116" t="s">
        <v>113</v>
      </c>
      <c r="E175" s="109" t="s">
        <v>14</v>
      </c>
      <c r="F175" s="1587"/>
      <c r="G175" s="1156">
        <v>10000000</v>
      </c>
      <c r="H175" s="109" t="s">
        <v>4</v>
      </c>
      <c r="I175" s="109" t="s">
        <v>6</v>
      </c>
      <c r="J175" s="109" t="s">
        <v>677</v>
      </c>
      <c r="K175" s="109" t="s">
        <v>677</v>
      </c>
      <c r="L175" s="109" t="s">
        <v>2158</v>
      </c>
      <c r="M175" s="1135">
        <f t="shared" si="3"/>
        <v>2500000</v>
      </c>
      <c r="O175" s="1145" t="s">
        <v>1363</v>
      </c>
      <c r="P175" s="1585"/>
      <c r="Q175" s="1108" t="s">
        <v>1363</v>
      </c>
      <c r="R175" s="1585"/>
      <c r="S175" s="1110"/>
      <c r="T175" s="1585"/>
      <c r="U175" s="1110"/>
      <c r="V175" s="1585"/>
    </row>
    <row r="176" spans="2:22" ht="11.25" customHeight="1">
      <c r="B176" s="106"/>
      <c r="C176" s="477"/>
      <c r="D176" s="1116" t="s">
        <v>491</v>
      </c>
      <c r="E176" s="109" t="s">
        <v>14</v>
      </c>
      <c r="F176" s="1587"/>
      <c r="G176" s="1156">
        <v>10000000</v>
      </c>
      <c r="H176" s="109" t="s">
        <v>4</v>
      </c>
      <c r="I176" s="109" t="s">
        <v>6</v>
      </c>
      <c r="J176" s="109" t="s">
        <v>677</v>
      </c>
      <c r="K176" s="109" t="s">
        <v>677</v>
      </c>
      <c r="L176" s="109" t="s">
        <v>2158</v>
      </c>
      <c r="M176" s="1135">
        <f t="shared" si="3"/>
        <v>2500000</v>
      </c>
      <c r="O176" s="1145" t="s">
        <v>1363</v>
      </c>
      <c r="P176" s="1585"/>
      <c r="Q176" s="1108" t="s">
        <v>1363</v>
      </c>
      <c r="R176" s="1585"/>
      <c r="S176" s="1110"/>
      <c r="T176" s="1585"/>
      <c r="U176" s="1110"/>
      <c r="V176" s="1585"/>
    </row>
    <row r="177" spans="2:22" s="1146" customFormat="1" ht="12" customHeight="1" thickBot="1">
      <c r="B177" s="1147"/>
      <c r="C177" s="1148"/>
      <c r="D177" s="1149" t="s">
        <v>2164</v>
      </c>
      <c r="E177" s="1137" t="s">
        <v>14</v>
      </c>
      <c r="F177" s="1587"/>
      <c r="G177" s="1157">
        <v>10000000</v>
      </c>
      <c r="H177" s="1137" t="s">
        <v>4</v>
      </c>
      <c r="I177" s="1137" t="s">
        <v>6</v>
      </c>
      <c r="J177" s="1137" t="s">
        <v>677</v>
      </c>
      <c r="K177" s="1137" t="s">
        <v>677</v>
      </c>
      <c r="L177" s="1137" t="s">
        <v>2158</v>
      </c>
      <c r="M177" s="1138">
        <f t="shared" si="3"/>
        <v>2500000</v>
      </c>
      <c r="N177" s="1139"/>
      <c r="O177" s="1150" t="s">
        <v>1363</v>
      </c>
      <c r="P177" s="1585"/>
      <c r="Q177" s="1108" t="s">
        <v>1363</v>
      </c>
      <c r="R177" s="1585"/>
      <c r="S177" s="1158"/>
      <c r="T177" s="1594"/>
      <c r="U177" s="1158"/>
      <c r="V177" s="1594"/>
    </row>
    <row r="178" spans="2:22" ht="12" customHeight="1" thickTop="1">
      <c r="B178" s="1151"/>
      <c r="C178" s="1152"/>
      <c r="D178" s="1153" t="s">
        <v>0</v>
      </c>
      <c r="E178" s="1142" t="s">
        <v>14</v>
      </c>
      <c r="F178" s="1587" t="s">
        <v>2171</v>
      </c>
      <c r="G178" s="1141">
        <v>192000000</v>
      </c>
      <c r="H178" s="1142" t="s">
        <v>4</v>
      </c>
      <c r="I178" s="1142" t="s">
        <v>6</v>
      </c>
      <c r="J178" s="1142" t="s">
        <v>677</v>
      </c>
      <c r="K178" s="1142" t="s">
        <v>677</v>
      </c>
      <c r="L178" s="1142" t="s">
        <v>2158</v>
      </c>
      <c r="M178" s="1143">
        <f t="shared" si="3"/>
        <v>48000000</v>
      </c>
      <c r="N178" s="1144"/>
      <c r="O178" s="1145" t="s">
        <v>1363</v>
      </c>
      <c r="P178" s="1584" t="s">
        <v>2159</v>
      </c>
      <c r="Q178" s="1108" t="s">
        <v>1363</v>
      </c>
      <c r="R178" s="1584" t="s">
        <v>2160</v>
      </c>
      <c r="S178" s="1155"/>
      <c r="T178" s="1584" t="s">
        <v>2161</v>
      </c>
      <c r="U178" s="1155"/>
      <c r="V178" s="1584" t="s">
        <v>2172</v>
      </c>
    </row>
    <row r="179" spans="2:22" ht="12" customHeight="1">
      <c r="B179" s="106"/>
      <c r="C179" s="477"/>
      <c r="D179" s="1116" t="s">
        <v>2167</v>
      </c>
      <c r="E179" s="109" t="s">
        <v>14</v>
      </c>
      <c r="F179" s="1587"/>
      <c r="G179" s="1111">
        <v>30000000</v>
      </c>
      <c r="H179" s="109" t="s">
        <v>4</v>
      </c>
      <c r="I179" s="109" t="s">
        <v>6</v>
      </c>
      <c r="J179" s="109" t="s">
        <v>677</v>
      </c>
      <c r="K179" s="109" t="s">
        <v>677</v>
      </c>
      <c r="L179" s="109" t="s">
        <v>2158</v>
      </c>
      <c r="M179" s="1135">
        <f t="shared" si="3"/>
        <v>7500000</v>
      </c>
      <c r="O179" s="1145" t="s">
        <v>1363</v>
      </c>
      <c r="P179" s="1585"/>
      <c r="Q179" s="1108" t="s">
        <v>1363</v>
      </c>
      <c r="R179" s="1585"/>
      <c r="S179" s="1110"/>
      <c r="T179" s="1585"/>
      <c r="U179" s="1110"/>
      <c r="V179" s="1585"/>
    </row>
    <row r="180" spans="2:22" ht="15" customHeight="1">
      <c r="B180" s="106"/>
      <c r="C180" s="477"/>
      <c r="D180" s="1116" t="s">
        <v>490</v>
      </c>
      <c r="E180" s="109" t="s">
        <v>14</v>
      </c>
      <c r="F180" s="1587"/>
      <c r="G180" s="1111">
        <v>30000000</v>
      </c>
      <c r="H180" s="109" t="s">
        <v>4</v>
      </c>
      <c r="I180" s="109" t="s">
        <v>6</v>
      </c>
      <c r="J180" s="109" t="s">
        <v>677</v>
      </c>
      <c r="K180" s="109" t="s">
        <v>677</v>
      </c>
      <c r="L180" s="109" t="s">
        <v>2158</v>
      </c>
      <c r="M180" s="1135">
        <f t="shared" si="3"/>
        <v>7500000</v>
      </c>
      <c r="O180" s="1145" t="s">
        <v>1363</v>
      </c>
      <c r="P180" s="1585"/>
      <c r="Q180" s="1108" t="s">
        <v>1363</v>
      </c>
      <c r="R180" s="1585"/>
      <c r="S180" s="1110"/>
      <c r="T180" s="1585"/>
      <c r="U180" s="1110"/>
      <c r="V180" s="1585"/>
    </row>
    <row r="181" spans="2:22" s="1146" customFormat="1" ht="24.75" customHeight="1" thickBot="1">
      <c r="B181" s="1147"/>
      <c r="C181" s="1148"/>
      <c r="D181" s="1149" t="s">
        <v>2173</v>
      </c>
      <c r="E181" s="1137" t="s">
        <v>14</v>
      </c>
      <c r="F181" s="1595"/>
      <c r="G181" s="1136">
        <v>30000000</v>
      </c>
      <c r="H181" s="1137" t="s">
        <v>4</v>
      </c>
      <c r="I181" s="1137" t="s">
        <v>6</v>
      </c>
      <c r="J181" s="1137" t="s">
        <v>677</v>
      </c>
      <c r="K181" s="1137" t="s">
        <v>677</v>
      </c>
      <c r="L181" s="1137" t="s">
        <v>2158</v>
      </c>
      <c r="M181" s="1138">
        <f t="shared" si="3"/>
        <v>7500000</v>
      </c>
      <c r="N181" s="1139"/>
      <c r="O181" s="1150" t="s">
        <v>1363</v>
      </c>
      <c r="P181" s="1585"/>
      <c r="Q181" s="1108" t="s">
        <v>1363</v>
      </c>
      <c r="R181" s="1585"/>
      <c r="S181" s="1158"/>
      <c r="T181" s="1594"/>
      <c r="U181" s="1158"/>
      <c r="V181" s="1594"/>
    </row>
    <row r="182" spans="2:22" ht="67.5" customHeight="1" thickTop="1">
      <c r="B182" s="106"/>
      <c r="C182" s="477"/>
      <c r="D182" s="1116" t="s">
        <v>0</v>
      </c>
      <c r="E182" s="109" t="s">
        <v>14</v>
      </c>
      <c r="F182" s="1159" t="s">
        <v>2174</v>
      </c>
      <c r="G182" s="1111">
        <v>1000000000</v>
      </c>
      <c r="H182" s="109" t="s">
        <v>5</v>
      </c>
      <c r="I182" s="109" t="s">
        <v>69</v>
      </c>
      <c r="J182" s="109" t="s">
        <v>89</v>
      </c>
      <c r="K182" s="109">
        <v>400000</v>
      </c>
      <c r="L182" s="109" t="s">
        <v>90</v>
      </c>
      <c r="M182" s="1112">
        <v>500000000</v>
      </c>
      <c r="N182" s="1592" t="s">
        <v>2175</v>
      </c>
      <c r="O182" s="1590" t="s">
        <v>677</v>
      </c>
      <c r="P182" s="1588" t="s">
        <v>2176</v>
      </c>
      <c r="Q182" s="1590" t="s">
        <v>677</v>
      </c>
      <c r="R182" s="1588" t="s">
        <v>2176</v>
      </c>
      <c r="S182" s="1590" t="s">
        <v>14</v>
      </c>
      <c r="T182" s="1588" t="s">
        <v>2177</v>
      </c>
      <c r="U182" s="1590" t="s">
        <v>14</v>
      </c>
      <c r="V182" s="1584" t="s">
        <v>2178</v>
      </c>
    </row>
    <row r="183" spans="2:22" s="1146" customFormat="1" ht="45.75" thickBot="1">
      <c r="B183" s="1160" t="s">
        <v>2179</v>
      </c>
      <c r="C183" s="1148"/>
      <c r="D183" s="1149" t="s">
        <v>80</v>
      </c>
      <c r="E183" s="1137" t="s">
        <v>14</v>
      </c>
      <c r="F183" s="1160" t="s">
        <v>2174</v>
      </c>
      <c r="G183" s="1136">
        <v>800000000</v>
      </c>
      <c r="H183" s="1137" t="s">
        <v>5</v>
      </c>
      <c r="I183" s="1137" t="s">
        <v>69</v>
      </c>
      <c r="J183" s="1137" t="s">
        <v>89</v>
      </c>
      <c r="K183" s="1137">
        <v>400000</v>
      </c>
      <c r="L183" s="1137" t="s">
        <v>90</v>
      </c>
      <c r="M183" s="1161">
        <v>400000000</v>
      </c>
      <c r="N183" s="1593"/>
      <c r="O183" s="1591"/>
      <c r="P183" s="1589"/>
      <c r="Q183" s="1591"/>
      <c r="R183" s="1589"/>
      <c r="S183" s="1591"/>
      <c r="T183" s="1589"/>
      <c r="U183" s="1591"/>
      <c r="V183" s="1585"/>
    </row>
    <row r="184" spans="2:22" ht="108" customHeight="1" thickTop="1">
      <c r="B184" s="1159" t="s">
        <v>2180</v>
      </c>
      <c r="C184" s="1152">
        <f>SUM(G184:G199)</f>
        <v>8180000000</v>
      </c>
      <c r="D184" s="1162" t="s">
        <v>0</v>
      </c>
      <c r="E184" s="1142" t="s">
        <v>14</v>
      </c>
      <c r="F184" s="1159" t="s">
        <v>2181</v>
      </c>
      <c r="G184" s="1163">
        <v>4570000000</v>
      </c>
      <c r="H184" s="1142" t="s">
        <v>677</v>
      </c>
      <c r="I184" s="1142" t="s">
        <v>677</v>
      </c>
      <c r="J184" s="1142" t="s">
        <v>677</v>
      </c>
      <c r="K184" s="1142" t="s">
        <v>677</v>
      </c>
      <c r="L184" s="1142" t="s">
        <v>79</v>
      </c>
      <c r="M184" s="1164">
        <f>G184</f>
        <v>4570000000</v>
      </c>
      <c r="N184" s="1144" t="s">
        <v>2182</v>
      </c>
      <c r="O184" s="1145" t="s">
        <v>1363</v>
      </c>
      <c r="P184" s="1165" t="s">
        <v>2159</v>
      </c>
      <c r="Q184" s="1145" t="s">
        <v>1363</v>
      </c>
      <c r="R184" s="1166" t="s">
        <v>2183</v>
      </c>
      <c r="S184" s="1145" t="s">
        <v>1257</v>
      </c>
      <c r="T184" s="1166" t="s">
        <v>2184</v>
      </c>
      <c r="U184" s="1145" t="s">
        <v>1257</v>
      </c>
      <c r="V184" s="1167" t="s">
        <v>2185</v>
      </c>
    </row>
    <row r="185" spans="2:22" ht="61.5" customHeight="1">
      <c r="B185" s="106"/>
      <c r="C185" s="477"/>
      <c r="D185" s="1168" t="s">
        <v>0</v>
      </c>
      <c r="E185" s="109" t="s">
        <v>14</v>
      </c>
      <c r="F185" s="476" t="s">
        <v>2186</v>
      </c>
      <c r="G185" s="1169">
        <v>760000000</v>
      </c>
      <c r="H185" s="109" t="s">
        <v>4</v>
      </c>
      <c r="I185" s="109" t="s">
        <v>6</v>
      </c>
      <c r="J185" s="109" t="s">
        <v>677</v>
      </c>
      <c r="K185" s="109" t="s">
        <v>677</v>
      </c>
      <c r="L185" s="109" t="s">
        <v>69</v>
      </c>
      <c r="M185" s="1112">
        <f>G185</f>
        <v>760000000</v>
      </c>
      <c r="O185" s="1108" t="s">
        <v>1363</v>
      </c>
      <c r="P185" s="1109" t="s">
        <v>2187</v>
      </c>
      <c r="Q185" s="1110" t="s">
        <v>1363</v>
      </c>
      <c r="R185" s="1166" t="s">
        <v>2188</v>
      </c>
      <c r="S185" s="1108" t="s">
        <v>1257</v>
      </c>
      <c r="T185" s="1166" t="s">
        <v>2189</v>
      </c>
      <c r="U185" s="1108" t="s">
        <v>1257</v>
      </c>
      <c r="V185" s="1167" t="s">
        <v>2190</v>
      </c>
    </row>
    <row r="186" spans="2:22" ht="22.5" customHeight="1">
      <c r="B186" s="106"/>
      <c r="C186" s="477"/>
      <c r="D186" s="1168" t="s">
        <v>2191</v>
      </c>
      <c r="E186" s="109" t="s">
        <v>14</v>
      </c>
      <c r="F186" s="1533" t="s">
        <v>2192</v>
      </c>
      <c r="G186" s="1170">
        <v>25000000</v>
      </c>
      <c r="H186" s="109"/>
      <c r="I186" s="109"/>
      <c r="J186" s="109"/>
      <c r="K186" s="109"/>
      <c r="L186" s="109"/>
      <c r="M186" s="1112"/>
      <c r="N186" s="1102" t="s">
        <v>2193</v>
      </c>
      <c r="O186" s="1108"/>
      <c r="P186" s="1109"/>
      <c r="Q186" s="1110"/>
      <c r="R186" s="525"/>
      <c r="S186" s="1110"/>
      <c r="T186" s="1109"/>
      <c r="U186" s="1110"/>
      <c r="V186" s="1109"/>
    </row>
    <row r="187" spans="2:22" ht="12" customHeight="1">
      <c r="B187" s="106"/>
      <c r="C187" s="477"/>
      <c r="D187" s="1168" t="s">
        <v>2194</v>
      </c>
      <c r="E187" s="109" t="s">
        <v>14</v>
      </c>
      <c r="F187" s="1534"/>
      <c r="G187" s="1170">
        <v>8000000</v>
      </c>
      <c r="H187" s="109"/>
      <c r="I187" s="109"/>
      <c r="J187" s="109"/>
      <c r="K187" s="109"/>
      <c r="L187" s="109"/>
      <c r="M187" s="1112"/>
      <c r="N187" s="1102" t="s">
        <v>2193</v>
      </c>
      <c r="O187" s="1108"/>
      <c r="P187" s="1109"/>
      <c r="Q187" s="1110"/>
      <c r="R187" s="525"/>
      <c r="S187" s="1110"/>
      <c r="T187" s="1109"/>
      <c r="U187" s="1110"/>
      <c r="V187" s="1109"/>
    </row>
    <row r="188" spans="2:22" ht="12">
      <c r="B188" s="106"/>
      <c r="C188" s="477"/>
      <c r="D188" s="1168" t="s">
        <v>2195</v>
      </c>
      <c r="E188" s="109" t="s">
        <v>14</v>
      </c>
      <c r="F188" s="1534"/>
      <c r="G188" s="1170">
        <v>12000000</v>
      </c>
      <c r="H188" s="109"/>
      <c r="I188" s="109"/>
      <c r="J188" s="109"/>
      <c r="K188" s="109"/>
      <c r="L188" s="109"/>
      <c r="M188" s="1112"/>
      <c r="N188" s="1102" t="s">
        <v>2193</v>
      </c>
      <c r="O188" s="1108"/>
      <c r="P188" s="1109"/>
      <c r="Q188" s="1110"/>
      <c r="R188" s="525"/>
      <c r="S188" s="1110"/>
      <c r="T188" s="1109"/>
      <c r="U188" s="1110"/>
      <c r="V188" s="1109"/>
    </row>
    <row r="189" spans="2:22" ht="12">
      <c r="B189" s="106"/>
      <c r="C189" s="477"/>
      <c r="D189" s="1168" t="s">
        <v>2196</v>
      </c>
      <c r="E189" s="109" t="s">
        <v>14</v>
      </c>
      <c r="F189" s="1534"/>
      <c r="G189" s="1170">
        <v>25000000</v>
      </c>
      <c r="H189" s="109"/>
      <c r="I189" s="109"/>
      <c r="J189" s="109"/>
      <c r="K189" s="109"/>
      <c r="L189" s="109"/>
      <c r="M189" s="1112"/>
      <c r="N189" s="1102" t="s">
        <v>2193</v>
      </c>
      <c r="O189" s="1108"/>
      <c r="P189" s="1109"/>
      <c r="Q189" s="1110"/>
      <c r="R189" s="525"/>
      <c r="S189" s="1110"/>
      <c r="T189" s="1109"/>
      <c r="U189" s="1110"/>
      <c r="V189" s="1109"/>
    </row>
    <row r="190" spans="2:22" ht="12">
      <c r="B190" s="106"/>
      <c r="C190" s="477"/>
      <c r="D190" s="1168" t="s">
        <v>2197</v>
      </c>
      <c r="E190" s="109" t="s">
        <v>14</v>
      </c>
      <c r="F190" s="1534"/>
      <c r="G190" s="1170">
        <v>17000000</v>
      </c>
      <c r="H190" s="109"/>
      <c r="I190" s="109"/>
      <c r="J190" s="109"/>
      <c r="K190" s="109"/>
      <c r="L190" s="109"/>
      <c r="M190" s="1112"/>
      <c r="N190" s="1102" t="s">
        <v>2193</v>
      </c>
      <c r="O190" s="1108"/>
      <c r="P190" s="1109"/>
      <c r="Q190" s="1110"/>
      <c r="R190" s="525"/>
      <c r="S190" s="1110"/>
      <c r="T190" s="1109"/>
      <c r="U190" s="1110"/>
      <c r="V190" s="1109"/>
    </row>
    <row r="191" spans="2:22" ht="12">
      <c r="B191" s="106"/>
      <c r="C191" s="477"/>
      <c r="D191" s="1168" t="s">
        <v>2198</v>
      </c>
      <c r="E191" s="109" t="s">
        <v>14</v>
      </c>
      <c r="F191" s="1535"/>
      <c r="G191" s="1170">
        <v>13000000</v>
      </c>
      <c r="H191" s="109"/>
      <c r="I191" s="109"/>
      <c r="J191" s="109"/>
      <c r="K191" s="109"/>
      <c r="L191" s="109"/>
      <c r="M191" s="1112"/>
      <c r="N191" s="1102" t="s">
        <v>2193</v>
      </c>
      <c r="O191" s="1108"/>
      <c r="P191" s="1109"/>
      <c r="Q191" s="1110"/>
      <c r="R191" s="525"/>
      <c r="S191" s="1110"/>
      <c r="T191" s="1109"/>
      <c r="U191" s="1110"/>
      <c r="V191" s="1109"/>
    </row>
    <row r="192" spans="2:22" ht="64.5" customHeight="1">
      <c r="B192" s="106"/>
      <c r="C192" s="477"/>
      <c r="D192" s="1168" t="s">
        <v>0</v>
      </c>
      <c r="E192" s="109" t="s">
        <v>14</v>
      </c>
      <c r="F192" s="476" t="s">
        <v>2199</v>
      </c>
      <c r="G192" s="1170">
        <v>600000000</v>
      </c>
      <c r="H192" s="109" t="s">
        <v>4</v>
      </c>
      <c r="I192" s="109" t="s">
        <v>6</v>
      </c>
      <c r="J192" s="109" t="s">
        <v>677</v>
      </c>
      <c r="K192" s="109" t="s">
        <v>677</v>
      </c>
      <c r="L192" s="109" t="s">
        <v>69</v>
      </c>
      <c r="M192" s="1112">
        <f>G192</f>
        <v>600000000</v>
      </c>
      <c r="O192" s="1108" t="s">
        <v>1363</v>
      </c>
      <c r="P192" s="1109" t="s">
        <v>2187</v>
      </c>
      <c r="Q192" s="1110" t="s">
        <v>1363</v>
      </c>
      <c r="R192" s="1166" t="s">
        <v>2188</v>
      </c>
      <c r="S192" s="1108" t="s">
        <v>1257</v>
      </c>
      <c r="T192" s="1166" t="s">
        <v>2189</v>
      </c>
      <c r="U192" s="1108" t="s">
        <v>1257</v>
      </c>
      <c r="V192" s="1167" t="s">
        <v>2200</v>
      </c>
    </row>
    <row r="193" spans="2:22" ht="63.75" customHeight="1">
      <c r="B193" s="106"/>
      <c r="C193" s="477"/>
      <c r="D193" s="1168" t="s">
        <v>0</v>
      </c>
      <c r="E193" s="109" t="s">
        <v>14</v>
      </c>
      <c r="F193" s="476" t="s">
        <v>2201</v>
      </c>
      <c r="G193" s="1169">
        <v>1180000000</v>
      </c>
      <c r="H193" s="109" t="s">
        <v>4</v>
      </c>
      <c r="I193" s="109" t="s">
        <v>13</v>
      </c>
      <c r="J193" s="109" t="s">
        <v>677</v>
      </c>
      <c r="K193" s="109" t="s">
        <v>677</v>
      </c>
      <c r="L193" s="109" t="s">
        <v>89</v>
      </c>
      <c r="M193" s="1112">
        <f>G193</f>
        <v>1180000000</v>
      </c>
      <c r="O193" s="1108" t="s">
        <v>1363</v>
      </c>
      <c r="P193" s="1109" t="s">
        <v>2187</v>
      </c>
      <c r="Q193" s="1110" t="s">
        <v>1363</v>
      </c>
      <c r="R193" s="1166" t="s">
        <v>2188</v>
      </c>
      <c r="S193" s="1108" t="s">
        <v>1257</v>
      </c>
      <c r="T193" s="1166" t="s">
        <v>2189</v>
      </c>
      <c r="U193" s="1108" t="s">
        <v>1257</v>
      </c>
      <c r="V193" s="1167" t="s">
        <v>2202</v>
      </c>
    </row>
    <row r="194" spans="2:22" ht="63.75" customHeight="1">
      <c r="B194" s="106"/>
      <c r="C194" s="477"/>
      <c r="D194" s="1168" t="s">
        <v>0</v>
      </c>
      <c r="E194" s="109" t="s">
        <v>14</v>
      </c>
      <c r="F194" s="476" t="s">
        <v>2203</v>
      </c>
      <c r="G194" s="1170">
        <v>850000000</v>
      </c>
      <c r="H194" s="109" t="s">
        <v>5</v>
      </c>
      <c r="I194" s="109" t="s">
        <v>13</v>
      </c>
      <c r="J194" s="109" t="s">
        <v>677</v>
      </c>
      <c r="K194" s="109" t="s">
        <v>677</v>
      </c>
      <c r="L194" s="109" t="s">
        <v>89</v>
      </c>
      <c r="M194" s="1112">
        <f>G194</f>
        <v>850000000</v>
      </c>
      <c r="O194" s="1108" t="s">
        <v>1363</v>
      </c>
      <c r="P194" s="1109" t="s">
        <v>2187</v>
      </c>
      <c r="Q194" s="1110" t="s">
        <v>1363</v>
      </c>
      <c r="R194" s="1166" t="s">
        <v>2188</v>
      </c>
      <c r="S194" s="1108" t="s">
        <v>1257</v>
      </c>
      <c r="T194" s="1166" t="s">
        <v>2189</v>
      </c>
      <c r="U194" s="1108" t="s">
        <v>1257</v>
      </c>
      <c r="V194" s="1167" t="s">
        <v>2204</v>
      </c>
    </row>
    <row r="195" spans="2:22" ht="22.5" customHeight="1">
      <c r="B195" s="106"/>
      <c r="C195" s="477"/>
      <c r="D195" s="1168" t="s">
        <v>2205</v>
      </c>
      <c r="E195" s="109" t="s">
        <v>14</v>
      </c>
      <c r="F195" s="1533" t="s">
        <v>2206</v>
      </c>
      <c r="G195" s="1170">
        <v>32000000</v>
      </c>
      <c r="H195" s="109"/>
      <c r="I195" s="109"/>
      <c r="J195" s="109"/>
      <c r="K195" s="109"/>
      <c r="L195" s="109"/>
      <c r="M195" s="1112"/>
      <c r="N195" s="1102" t="s">
        <v>2193</v>
      </c>
      <c r="O195" s="1108"/>
      <c r="P195" s="1109"/>
      <c r="Q195" s="1110"/>
      <c r="R195" s="525"/>
      <c r="S195" s="1110"/>
      <c r="T195" s="1109"/>
      <c r="U195" s="1110"/>
      <c r="V195" s="1109"/>
    </row>
    <row r="196" spans="2:22" ht="12">
      <c r="B196" s="106"/>
      <c r="C196" s="477"/>
      <c r="D196" s="1168" t="s">
        <v>2195</v>
      </c>
      <c r="E196" s="109" t="s">
        <v>14</v>
      </c>
      <c r="F196" s="1534"/>
      <c r="G196" s="1170">
        <v>20000000</v>
      </c>
      <c r="H196" s="109"/>
      <c r="I196" s="109"/>
      <c r="J196" s="109"/>
      <c r="K196" s="109"/>
      <c r="L196" s="109"/>
      <c r="M196" s="1112"/>
      <c r="N196" s="1102" t="s">
        <v>2193</v>
      </c>
      <c r="O196" s="1108"/>
      <c r="P196" s="1109"/>
      <c r="Q196" s="1110"/>
      <c r="R196" s="525"/>
      <c r="S196" s="1110"/>
      <c r="T196" s="1109"/>
      <c r="U196" s="1110"/>
      <c r="V196" s="1109"/>
    </row>
    <row r="197" spans="2:22" ht="12">
      <c r="B197" s="106"/>
      <c r="C197" s="477"/>
      <c r="D197" s="1168" t="s">
        <v>2196</v>
      </c>
      <c r="E197" s="109" t="s">
        <v>14</v>
      </c>
      <c r="F197" s="1534"/>
      <c r="G197" s="1170">
        <v>32000000</v>
      </c>
      <c r="H197" s="109"/>
      <c r="I197" s="109"/>
      <c r="J197" s="109"/>
      <c r="K197" s="109"/>
      <c r="L197" s="109"/>
      <c r="M197" s="1112"/>
      <c r="N197" s="1102" t="s">
        <v>2193</v>
      </c>
      <c r="O197" s="1108"/>
      <c r="P197" s="1109"/>
      <c r="Q197" s="1110"/>
      <c r="R197" s="525"/>
      <c r="S197" s="1110"/>
      <c r="T197" s="1109"/>
      <c r="U197" s="1110"/>
      <c r="V197" s="1109"/>
    </row>
    <row r="198" spans="2:22" ht="12">
      <c r="B198" s="106"/>
      <c r="C198" s="477"/>
      <c r="D198" s="1168" t="s">
        <v>2207</v>
      </c>
      <c r="E198" s="109" t="s">
        <v>14</v>
      </c>
      <c r="F198" s="1534"/>
      <c r="G198" s="1170">
        <v>20000000</v>
      </c>
      <c r="H198" s="109"/>
      <c r="I198" s="109"/>
      <c r="J198" s="109"/>
      <c r="K198" s="109"/>
      <c r="L198" s="109"/>
      <c r="M198" s="1112"/>
      <c r="N198" s="1102" t="s">
        <v>2193</v>
      </c>
      <c r="O198" s="1108"/>
      <c r="P198" s="1109"/>
      <c r="Q198" s="1110"/>
      <c r="R198" s="525"/>
      <c r="S198" s="1110"/>
      <c r="T198" s="1109"/>
      <c r="U198" s="1110"/>
      <c r="V198" s="1109"/>
    </row>
    <row r="199" spans="2:22" ht="12">
      <c r="B199" s="106"/>
      <c r="C199" s="477"/>
      <c r="D199" s="1168" t="s">
        <v>2198</v>
      </c>
      <c r="E199" s="109" t="s">
        <v>14</v>
      </c>
      <c r="F199" s="1535"/>
      <c r="G199" s="1170">
        <v>16000000</v>
      </c>
      <c r="H199" s="109"/>
      <c r="I199" s="109"/>
      <c r="J199" s="109"/>
      <c r="K199" s="109"/>
      <c r="L199" s="109"/>
      <c r="M199" s="1112"/>
      <c r="N199" s="1102" t="s">
        <v>2193</v>
      </c>
      <c r="O199" s="1108"/>
      <c r="P199" s="1109"/>
      <c r="Q199" s="1110"/>
      <c r="R199" s="525"/>
      <c r="S199" s="1110"/>
      <c r="T199" s="1109"/>
      <c r="U199" s="1110"/>
      <c r="V199" s="1109"/>
    </row>
    <row r="200" spans="2:22" ht="33.75">
      <c r="B200" s="476" t="s">
        <v>2208</v>
      </c>
      <c r="C200" s="477">
        <f>SUM(G201:G224)</f>
        <v>3000000000</v>
      </c>
      <c r="D200" s="106"/>
      <c r="E200" s="109"/>
      <c r="F200" s="476"/>
      <c r="G200" s="1111"/>
      <c r="H200" s="109"/>
      <c r="I200" s="109"/>
      <c r="J200" s="109"/>
      <c r="K200" s="109"/>
      <c r="L200" s="109"/>
      <c r="M200" s="1112"/>
      <c r="O200" s="1108"/>
      <c r="P200" s="1109"/>
      <c r="Q200" s="1110"/>
      <c r="R200" s="525"/>
      <c r="S200" s="1110"/>
      <c r="T200" s="1109"/>
      <c r="U200" s="1110"/>
      <c r="V200" s="1109"/>
    </row>
    <row r="201" spans="2:22">
      <c r="B201" s="476"/>
      <c r="C201" s="477"/>
      <c r="D201" s="1168" t="s">
        <v>2191</v>
      </c>
      <c r="E201" s="109" t="s">
        <v>14</v>
      </c>
      <c r="F201" s="1533" t="s">
        <v>2209</v>
      </c>
      <c r="G201" s="1111">
        <v>20000000</v>
      </c>
      <c r="H201" s="109"/>
      <c r="I201" s="109"/>
      <c r="J201" s="109"/>
      <c r="K201" s="109"/>
      <c r="L201" s="109"/>
      <c r="M201" s="1112"/>
      <c r="N201" s="1102" t="s">
        <v>2193</v>
      </c>
      <c r="O201" s="1108"/>
      <c r="P201" s="1109"/>
      <c r="Q201" s="1110"/>
      <c r="R201" s="525"/>
      <c r="S201" s="1110"/>
      <c r="T201" s="1109"/>
      <c r="U201" s="1110"/>
      <c r="V201" s="1109"/>
    </row>
    <row r="202" spans="2:22">
      <c r="B202" s="476"/>
      <c r="C202" s="477"/>
      <c r="D202" s="1168" t="s">
        <v>2194</v>
      </c>
      <c r="E202" s="109" t="s">
        <v>14</v>
      </c>
      <c r="F202" s="1534"/>
      <c r="G202" s="1111">
        <v>8000000</v>
      </c>
      <c r="H202" s="109"/>
      <c r="I202" s="109"/>
      <c r="J202" s="109"/>
      <c r="K202" s="109"/>
      <c r="L202" s="109"/>
      <c r="M202" s="1112"/>
      <c r="N202" s="1102" t="s">
        <v>2193</v>
      </c>
      <c r="O202" s="1108"/>
      <c r="P202" s="1109"/>
      <c r="Q202" s="1110"/>
      <c r="R202" s="525"/>
      <c r="S202" s="1110"/>
      <c r="T202" s="1109"/>
      <c r="U202" s="1110"/>
      <c r="V202" s="1109"/>
    </row>
    <row r="203" spans="2:22">
      <c r="B203" s="476"/>
      <c r="C203" s="477"/>
      <c r="D203" s="1168" t="s">
        <v>2195</v>
      </c>
      <c r="E203" s="109" t="s">
        <v>14</v>
      </c>
      <c r="F203" s="1534"/>
      <c r="G203" s="1111">
        <v>12000000</v>
      </c>
      <c r="H203" s="109"/>
      <c r="I203" s="109"/>
      <c r="J203" s="109"/>
      <c r="K203" s="109"/>
      <c r="L203" s="109"/>
      <c r="M203" s="1112"/>
      <c r="N203" s="1102" t="s">
        <v>2193</v>
      </c>
      <c r="O203" s="1108"/>
      <c r="P203" s="1109"/>
      <c r="Q203" s="1110"/>
      <c r="R203" s="525"/>
      <c r="S203" s="1110"/>
      <c r="T203" s="1109"/>
      <c r="U203" s="1110"/>
      <c r="V203" s="1109"/>
    </row>
    <row r="204" spans="2:22">
      <c r="B204" s="476"/>
      <c r="C204" s="477"/>
      <c r="D204" s="1168" t="s">
        <v>2196</v>
      </c>
      <c r="E204" s="109" t="s">
        <v>14</v>
      </c>
      <c r="F204" s="1534"/>
      <c r="G204" s="1111">
        <v>15000000</v>
      </c>
      <c r="H204" s="109"/>
      <c r="I204" s="109"/>
      <c r="J204" s="109"/>
      <c r="K204" s="109"/>
      <c r="L204" s="109"/>
      <c r="M204" s="1112"/>
      <c r="N204" s="1102" t="s">
        <v>2193</v>
      </c>
      <c r="O204" s="1108"/>
      <c r="P204" s="1109"/>
      <c r="Q204" s="1110"/>
      <c r="R204" s="525"/>
      <c r="S204" s="1110"/>
      <c r="T204" s="1109"/>
      <c r="U204" s="1110"/>
      <c r="V204" s="1109"/>
    </row>
    <row r="205" spans="2:22">
      <c r="B205" s="476"/>
      <c r="C205" s="477"/>
      <c r="D205" s="1168" t="s">
        <v>2197</v>
      </c>
      <c r="E205" s="109" t="s">
        <v>14</v>
      </c>
      <c r="F205" s="1534"/>
      <c r="G205" s="1111">
        <v>10000000</v>
      </c>
      <c r="H205" s="109"/>
      <c r="I205" s="109"/>
      <c r="J205" s="109"/>
      <c r="K205" s="109"/>
      <c r="L205" s="109"/>
      <c r="M205" s="1112"/>
      <c r="N205" s="1102" t="s">
        <v>2193</v>
      </c>
      <c r="O205" s="1108"/>
      <c r="P205" s="1109"/>
      <c r="Q205" s="1110"/>
      <c r="R205" s="525"/>
      <c r="S205" s="1110"/>
      <c r="T205" s="1109"/>
      <c r="U205" s="1110"/>
      <c r="V205" s="1109"/>
    </row>
    <row r="206" spans="2:22">
      <c r="B206" s="476"/>
      <c r="C206" s="477"/>
      <c r="D206" s="1168" t="s">
        <v>2198</v>
      </c>
      <c r="E206" s="109" t="s">
        <v>14</v>
      </c>
      <c r="F206" s="1535"/>
      <c r="G206" s="1111">
        <v>10000000</v>
      </c>
      <c r="H206" s="109"/>
      <c r="I206" s="109"/>
      <c r="J206" s="109"/>
      <c r="K206" s="109"/>
      <c r="L206" s="109"/>
      <c r="M206" s="1112"/>
      <c r="N206" s="1102" t="s">
        <v>2193</v>
      </c>
      <c r="O206" s="1108"/>
      <c r="P206" s="1109"/>
      <c r="Q206" s="1110"/>
      <c r="R206" s="525"/>
      <c r="S206" s="1110"/>
      <c r="T206" s="1109"/>
      <c r="U206" s="1110"/>
      <c r="V206" s="1109"/>
    </row>
    <row r="207" spans="2:22" ht="13.5" customHeight="1">
      <c r="B207" s="476"/>
      <c r="C207" s="477"/>
      <c r="D207" s="106" t="s">
        <v>0</v>
      </c>
      <c r="E207" s="109" t="s">
        <v>14</v>
      </c>
      <c r="F207" s="1533" t="s">
        <v>2210</v>
      </c>
      <c r="G207" s="1111">
        <v>30000000</v>
      </c>
      <c r="H207" s="109" t="s">
        <v>4</v>
      </c>
      <c r="I207" s="109" t="s">
        <v>6</v>
      </c>
      <c r="J207" s="109" t="s">
        <v>677</v>
      </c>
      <c r="K207" s="109" t="s">
        <v>677</v>
      </c>
      <c r="L207" s="109" t="s">
        <v>13</v>
      </c>
      <c r="M207" s="1112">
        <f>G207</f>
        <v>30000000</v>
      </c>
      <c r="N207" s="1102" t="s">
        <v>2193</v>
      </c>
      <c r="O207" s="1108"/>
      <c r="P207" s="1109"/>
      <c r="Q207" s="1110"/>
      <c r="R207" s="525"/>
      <c r="S207" s="1110"/>
      <c r="T207" s="1109"/>
      <c r="U207" s="1110"/>
      <c r="V207" s="1109"/>
    </row>
    <row r="208" spans="2:22">
      <c r="B208" s="476"/>
      <c r="C208" s="477"/>
      <c r="D208" s="1168" t="s">
        <v>2191</v>
      </c>
      <c r="E208" s="109" t="s">
        <v>14</v>
      </c>
      <c r="F208" s="1534"/>
      <c r="G208" s="1111">
        <v>2000000</v>
      </c>
      <c r="H208" s="109"/>
      <c r="I208" s="109"/>
      <c r="J208" s="109"/>
      <c r="K208" s="109"/>
      <c r="L208" s="109"/>
      <c r="M208" s="1112"/>
      <c r="N208" s="1102" t="s">
        <v>2193</v>
      </c>
      <c r="O208" s="1108"/>
      <c r="P208" s="1109"/>
      <c r="Q208" s="1110"/>
      <c r="R208" s="525"/>
      <c r="S208" s="1110"/>
      <c r="T208" s="1109"/>
      <c r="U208" s="1110"/>
      <c r="V208" s="1109"/>
    </row>
    <row r="209" spans="2:22">
      <c r="B209" s="476"/>
      <c r="C209" s="477"/>
      <c r="D209" s="1168" t="s">
        <v>2194</v>
      </c>
      <c r="E209" s="109" t="s">
        <v>14</v>
      </c>
      <c r="F209" s="1534"/>
      <c r="G209" s="1111">
        <v>2000000</v>
      </c>
      <c r="H209" s="109"/>
      <c r="I209" s="109"/>
      <c r="J209" s="109"/>
      <c r="K209" s="109"/>
      <c r="L209" s="109"/>
      <c r="M209" s="1112"/>
      <c r="N209" s="1102" t="s">
        <v>2193</v>
      </c>
      <c r="O209" s="1108"/>
      <c r="P209" s="1109"/>
      <c r="Q209" s="1110"/>
      <c r="R209" s="525"/>
      <c r="S209" s="1110"/>
      <c r="T209" s="1109"/>
      <c r="U209" s="1110"/>
      <c r="V209" s="1109"/>
    </row>
    <row r="210" spans="2:22">
      <c r="B210" s="476"/>
      <c r="C210" s="477"/>
      <c r="D210" s="1168" t="s">
        <v>2195</v>
      </c>
      <c r="E210" s="109" t="s">
        <v>14</v>
      </c>
      <c r="F210" s="1534"/>
      <c r="G210" s="1111">
        <v>6000000</v>
      </c>
      <c r="H210" s="109"/>
      <c r="I210" s="109"/>
      <c r="J210" s="109"/>
      <c r="K210" s="109"/>
      <c r="L210" s="109"/>
      <c r="M210" s="1112"/>
      <c r="N210" s="1102" t="s">
        <v>2193</v>
      </c>
      <c r="O210" s="1108"/>
      <c r="P210" s="1109"/>
      <c r="Q210" s="1110"/>
      <c r="R210" s="525"/>
      <c r="S210" s="1110"/>
      <c r="T210" s="1109"/>
      <c r="U210" s="1110"/>
      <c r="V210" s="1109"/>
    </row>
    <row r="211" spans="2:22">
      <c r="B211" s="476"/>
      <c r="C211" s="477"/>
      <c r="D211" s="1168" t="s">
        <v>2196</v>
      </c>
      <c r="E211" s="109" t="s">
        <v>14</v>
      </c>
      <c r="F211" s="1534"/>
      <c r="G211" s="1111">
        <v>15000000</v>
      </c>
      <c r="H211" s="109"/>
      <c r="I211" s="109"/>
      <c r="J211" s="109"/>
      <c r="K211" s="109"/>
      <c r="L211" s="109"/>
      <c r="M211" s="1112"/>
      <c r="N211" s="1102" t="s">
        <v>2193</v>
      </c>
      <c r="O211" s="1108"/>
      <c r="P211" s="1109"/>
      <c r="Q211" s="1110"/>
      <c r="R211" s="525"/>
      <c r="S211" s="1110"/>
      <c r="T211" s="1109"/>
      <c r="U211" s="1110"/>
      <c r="V211" s="1109"/>
    </row>
    <row r="212" spans="2:22">
      <c r="B212" s="476"/>
      <c r="C212" s="477"/>
      <c r="D212" s="1168" t="s">
        <v>2197</v>
      </c>
      <c r="E212" s="109" t="s">
        <v>14</v>
      </c>
      <c r="F212" s="1534"/>
      <c r="G212" s="1111">
        <v>12000000</v>
      </c>
      <c r="H212" s="109"/>
      <c r="I212" s="109"/>
      <c r="J212" s="109"/>
      <c r="K212" s="109"/>
      <c r="L212" s="109"/>
      <c r="M212" s="1112"/>
      <c r="N212" s="1102" t="s">
        <v>2193</v>
      </c>
      <c r="O212" s="1108"/>
      <c r="P212" s="1109"/>
      <c r="Q212" s="1110"/>
      <c r="R212" s="525"/>
      <c r="S212" s="1110"/>
      <c r="T212" s="1109"/>
      <c r="U212" s="1110"/>
      <c r="V212" s="1109"/>
    </row>
    <row r="213" spans="2:22">
      <c r="B213" s="476"/>
      <c r="C213" s="477"/>
      <c r="D213" s="1168" t="s">
        <v>2198</v>
      </c>
      <c r="E213" s="109" t="s">
        <v>14</v>
      </c>
      <c r="F213" s="1535"/>
      <c r="G213" s="1111">
        <v>5000000</v>
      </c>
      <c r="H213" s="109"/>
      <c r="I213" s="109"/>
      <c r="J213" s="109"/>
      <c r="K213" s="109"/>
      <c r="L213" s="109"/>
      <c r="M213" s="1112"/>
      <c r="N213" s="1102" t="s">
        <v>2193</v>
      </c>
      <c r="O213" s="1108"/>
      <c r="P213" s="1109"/>
      <c r="Q213" s="1110"/>
      <c r="R213" s="525"/>
      <c r="S213" s="1110"/>
      <c r="T213" s="1109"/>
      <c r="U213" s="1110"/>
      <c r="V213" s="1109"/>
    </row>
    <row r="214" spans="2:22">
      <c r="B214" s="476"/>
      <c r="C214" s="477"/>
      <c r="D214" s="106" t="s">
        <v>0</v>
      </c>
      <c r="E214" s="109" t="s">
        <v>14</v>
      </c>
      <c r="F214" s="1533" t="s">
        <v>2211</v>
      </c>
      <c r="G214" s="1111">
        <v>20000000</v>
      </c>
      <c r="H214" s="109" t="s">
        <v>4</v>
      </c>
      <c r="I214" s="109" t="s">
        <v>6</v>
      </c>
      <c r="J214" s="109" t="s">
        <v>677</v>
      </c>
      <c r="K214" s="109" t="s">
        <v>677</v>
      </c>
      <c r="L214" s="109" t="s">
        <v>13</v>
      </c>
      <c r="M214" s="1112">
        <f>G214</f>
        <v>20000000</v>
      </c>
      <c r="O214" s="1108"/>
      <c r="P214" s="1109"/>
      <c r="Q214" s="1110"/>
      <c r="R214" s="525"/>
      <c r="S214" s="1110"/>
      <c r="T214" s="1109"/>
      <c r="U214" s="1110"/>
      <c r="V214" s="1109"/>
    </row>
    <row r="215" spans="2:22">
      <c r="B215" s="476"/>
      <c r="C215" s="477"/>
      <c r="D215" s="1168" t="s">
        <v>2191</v>
      </c>
      <c r="E215" s="109" t="s">
        <v>14</v>
      </c>
      <c r="F215" s="1534"/>
      <c r="G215" s="1111">
        <v>65000000</v>
      </c>
      <c r="H215" s="109"/>
      <c r="I215" s="109"/>
      <c r="J215" s="109"/>
      <c r="K215" s="109"/>
      <c r="L215" s="109"/>
      <c r="M215" s="1112"/>
      <c r="N215" s="1102" t="s">
        <v>2193</v>
      </c>
      <c r="O215" s="1108"/>
      <c r="P215" s="1109"/>
      <c r="Q215" s="1110"/>
      <c r="R215" s="525"/>
      <c r="S215" s="1110"/>
      <c r="T215" s="1109"/>
      <c r="U215" s="1110"/>
      <c r="V215" s="1109"/>
    </row>
    <row r="216" spans="2:22">
      <c r="B216" s="476"/>
      <c r="C216" s="477"/>
      <c r="D216" s="1168" t="s">
        <v>2194</v>
      </c>
      <c r="E216" s="109" t="s">
        <v>14</v>
      </c>
      <c r="F216" s="1534"/>
      <c r="G216" s="1111">
        <v>1000000</v>
      </c>
      <c r="H216" s="109"/>
      <c r="I216" s="109"/>
      <c r="J216" s="109"/>
      <c r="K216" s="109"/>
      <c r="L216" s="109"/>
      <c r="M216" s="1112"/>
      <c r="N216" s="1102" t="s">
        <v>2193</v>
      </c>
      <c r="O216" s="1108"/>
      <c r="P216" s="1109"/>
      <c r="Q216" s="1110"/>
      <c r="R216" s="525"/>
      <c r="S216" s="1110"/>
      <c r="T216" s="1109"/>
      <c r="U216" s="1110"/>
      <c r="V216" s="1109"/>
    </row>
    <row r="217" spans="2:22">
      <c r="B217" s="476"/>
      <c r="C217" s="477"/>
      <c r="D217" s="1168" t="s">
        <v>2195</v>
      </c>
      <c r="E217" s="109" t="s">
        <v>14</v>
      </c>
      <c r="F217" s="1534"/>
      <c r="G217" s="1111">
        <v>50000000</v>
      </c>
      <c r="H217" s="109"/>
      <c r="I217" s="109"/>
      <c r="J217" s="109"/>
      <c r="K217" s="109"/>
      <c r="L217" s="109"/>
      <c r="M217" s="1112"/>
      <c r="N217" s="1102" t="s">
        <v>2193</v>
      </c>
      <c r="O217" s="1108"/>
      <c r="P217" s="1109"/>
      <c r="Q217" s="1110"/>
      <c r="R217" s="525"/>
      <c r="S217" s="1110"/>
      <c r="T217" s="1109"/>
      <c r="U217" s="1110"/>
      <c r="V217" s="1109"/>
    </row>
    <row r="218" spans="2:22">
      <c r="B218" s="476"/>
      <c r="C218" s="477"/>
      <c r="D218" s="1168" t="s">
        <v>2196</v>
      </c>
      <c r="E218" s="109" t="s">
        <v>14</v>
      </c>
      <c r="F218" s="1534"/>
      <c r="G218" s="1111">
        <v>90000000</v>
      </c>
      <c r="H218" s="109"/>
      <c r="I218" s="109"/>
      <c r="J218" s="109"/>
      <c r="K218" s="109"/>
      <c r="L218" s="109"/>
      <c r="M218" s="1112"/>
      <c r="N218" s="1102" t="s">
        <v>2193</v>
      </c>
      <c r="O218" s="1108"/>
      <c r="P218" s="1109"/>
      <c r="Q218" s="1110"/>
      <c r="R218" s="525"/>
      <c r="S218" s="1110"/>
      <c r="T218" s="1109"/>
      <c r="U218" s="1110"/>
      <c r="V218" s="1109"/>
    </row>
    <row r="219" spans="2:22">
      <c r="B219" s="476"/>
      <c r="C219" s="477"/>
      <c r="D219" s="1168" t="s">
        <v>2197</v>
      </c>
      <c r="E219" s="109" t="s">
        <v>14</v>
      </c>
      <c r="F219" s="1534"/>
      <c r="G219" s="1111">
        <v>50000000</v>
      </c>
      <c r="H219" s="109"/>
      <c r="I219" s="109"/>
      <c r="J219" s="109"/>
      <c r="K219" s="109"/>
      <c r="L219" s="109"/>
      <c r="M219" s="1112"/>
      <c r="N219" s="1102" t="s">
        <v>2193</v>
      </c>
      <c r="O219" s="1108"/>
      <c r="P219" s="1109"/>
      <c r="Q219" s="1110"/>
      <c r="R219" s="525"/>
      <c r="S219" s="1110"/>
      <c r="T219" s="1109"/>
      <c r="U219" s="1110"/>
      <c r="V219" s="1109"/>
    </row>
    <row r="220" spans="2:22">
      <c r="B220" s="476"/>
      <c r="C220" s="477"/>
      <c r="D220" s="1168" t="s">
        <v>2198</v>
      </c>
      <c r="E220" s="109" t="s">
        <v>14</v>
      </c>
      <c r="F220" s="1535"/>
      <c r="G220" s="1111">
        <v>50000000</v>
      </c>
      <c r="H220" s="109"/>
      <c r="I220" s="109"/>
      <c r="J220" s="109"/>
      <c r="K220" s="109"/>
      <c r="L220" s="109"/>
      <c r="M220" s="1112"/>
      <c r="N220" s="1102" t="s">
        <v>2193</v>
      </c>
      <c r="O220" s="1108"/>
      <c r="P220" s="1109"/>
      <c r="Q220" s="1110"/>
      <c r="R220" s="525"/>
      <c r="S220" s="1110"/>
      <c r="T220" s="1109"/>
      <c r="U220" s="1110"/>
      <c r="V220" s="1109"/>
    </row>
    <row r="221" spans="2:22" ht="72.75" customHeight="1">
      <c r="B221" s="476"/>
      <c r="C221" s="477"/>
      <c r="D221" s="106" t="s">
        <v>0</v>
      </c>
      <c r="E221" s="109" t="s">
        <v>14</v>
      </c>
      <c r="F221" s="476" t="s">
        <v>2212</v>
      </c>
      <c r="G221" s="1111">
        <v>300000000</v>
      </c>
      <c r="H221" s="109" t="s">
        <v>13</v>
      </c>
      <c r="I221" s="109" t="s">
        <v>69</v>
      </c>
      <c r="J221" s="109" t="s">
        <v>677</v>
      </c>
      <c r="K221" s="109" t="s">
        <v>677</v>
      </c>
      <c r="L221" s="109" t="s">
        <v>69</v>
      </c>
      <c r="M221" s="1112">
        <f>G221</f>
        <v>300000000</v>
      </c>
      <c r="O221" s="1108" t="s">
        <v>1363</v>
      </c>
      <c r="P221" s="1109" t="s">
        <v>2187</v>
      </c>
      <c r="Q221" s="1110" t="s">
        <v>1363</v>
      </c>
      <c r="R221" s="1166" t="s">
        <v>2188</v>
      </c>
      <c r="S221" s="1108" t="s">
        <v>1257</v>
      </c>
      <c r="T221" s="1166" t="s">
        <v>2189</v>
      </c>
      <c r="U221" s="1108" t="s">
        <v>1257</v>
      </c>
      <c r="V221" s="1167" t="s">
        <v>2213</v>
      </c>
    </row>
    <row r="222" spans="2:22" ht="62.25" customHeight="1">
      <c r="B222" s="476"/>
      <c r="C222" s="477"/>
      <c r="D222" s="106" t="s">
        <v>0</v>
      </c>
      <c r="E222" s="109" t="s">
        <v>14</v>
      </c>
      <c r="F222" s="476" t="s">
        <v>2214</v>
      </c>
      <c r="G222" s="1111">
        <v>560000000</v>
      </c>
      <c r="H222" s="109" t="s">
        <v>13</v>
      </c>
      <c r="I222" s="109" t="s">
        <v>69</v>
      </c>
      <c r="J222" s="109" t="s">
        <v>677</v>
      </c>
      <c r="K222" s="109" t="s">
        <v>677</v>
      </c>
      <c r="L222" s="109" t="s">
        <v>69</v>
      </c>
      <c r="M222" s="1112">
        <f>G222</f>
        <v>560000000</v>
      </c>
      <c r="O222" s="1108" t="s">
        <v>1363</v>
      </c>
      <c r="P222" s="1109" t="s">
        <v>2187</v>
      </c>
      <c r="Q222" s="1110" t="s">
        <v>1363</v>
      </c>
      <c r="R222" s="1166" t="s">
        <v>2188</v>
      </c>
      <c r="S222" s="1108" t="s">
        <v>1257</v>
      </c>
      <c r="T222" s="1166" t="s">
        <v>2189</v>
      </c>
      <c r="U222" s="1108" t="s">
        <v>1257</v>
      </c>
      <c r="V222" s="1167" t="s">
        <v>2215</v>
      </c>
    </row>
    <row r="223" spans="2:22" ht="105.75" customHeight="1">
      <c r="B223" s="476"/>
      <c r="C223" s="477"/>
      <c r="D223" s="106" t="s">
        <v>0</v>
      </c>
      <c r="E223" s="109" t="s">
        <v>14</v>
      </c>
      <c r="F223" s="476" t="s">
        <v>2216</v>
      </c>
      <c r="G223" s="1111">
        <v>1567000000</v>
      </c>
      <c r="H223" s="109" t="s">
        <v>13</v>
      </c>
      <c r="I223" s="109" t="s">
        <v>89</v>
      </c>
      <c r="J223" s="1171" t="s">
        <v>91</v>
      </c>
      <c r="K223" s="1171">
        <v>440100000</v>
      </c>
      <c r="L223" s="109" t="s">
        <v>554</v>
      </c>
      <c r="M223" s="1112">
        <f>(G223-K223)/6</f>
        <v>187816666.66666666</v>
      </c>
      <c r="N223" s="1102" t="s">
        <v>2217</v>
      </c>
      <c r="O223" s="1108" t="s">
        <v>1363</v>
      </c>
      <c r="P223" s="1166" t="s">
        <v>2183</v>
      </c>
      <c r="Q223" s="1110" t="s">
        <v>1363</v>
      </c>
      <c r="R223" s="1166" t="s">
        <v>2188</v>
      </c>
      <c r="S223" s="1108" t="s">
        <v>1257</v>
      </c>
      <c r="T223" s="1166" t="s">
        <v>2189</v>
      </c>
      <c r="U223" s="1108" t="s">
        <v>1257</v>
      </c>
      <c r="V223" s="1167" t="s">
        <v>2218</v>
      </c>
    </row>
    <row r="224" spans="2:22" ht="57.75" customHeight="1">
      <c r="B224" s="476"/>
      <c r="C224" s="477"/>
      <c r="D224" s="106" t="s">
        <v>0</v>
      </c>
      <c r="E224" s="109" t="s">
        <v>14</v>
      </c>
      <c r="F224" s="476" t="s">
        <v>2219</v>
      </c>
      <c r="G224" s="1111">
        <v>100000000</v>
      </c>
      <c r="H224" s="109" t="s">
        <v>4</v>
      </c>
      <c r="I224" s="109" t="s">
        <v>6</v>
      </c>
      <c r="J224" s="109" t="s">
        <v>677</v>
      </c>
      <c r="K224" s="109" t="s">
        <v>677</v>
      </c>
      <c r="L224" s="109" t="s">
        <v>13</v>
      </c>
      <c r="M224" s="1112">
        <f>G224</f>
        <v>100000000</v>
      </c>
      <c r="O224" s="1108" t="s">
        <v>1363</v>
      </c>
      <c r="P224" s="1109"/>
      <c r="Q224" s="1110" t="s">
        <v>1363</v>
      </c>
      <c r="R224" s="525"/>
      <c r="S224" s="1108" t="s">
        <v>1257</v>
      </c>
      <c r="T224" s="1166" t="s">
        <v>2220</v>
      </c>
      <c r="U224" s="1108" t="s">
        <v>1257</v>
      </c>
      <c r="V224" s="1167" t="s">
        <v>2221</v>
      </c>
    </row>
    <row r="225" spans="2:22" ht="34.5" thickBot="1">
      <c r="B225" s="1118" t="s">
        <v>2222</v>
      </c>
      <c r="C225" s="1172">
        <f>SUM(G226:G273)</f>
        <v>3340000000</v>
      </c>
      <c r="D225" s="1173"/>
      <c r="E225" s="1120"/>
      <c r="F225" s="1118"/>
      <c r="G225" s="1174"/>
      <c r="H225" s="1120"/>
      <c r="I225" s="1120"/>
      <c r="J225" s="1120"/>
      <c r="K225" s="1120"/>
      <c r="L225" s="1120"/>
      <c r="M225" s="1121"/>
      <c r="N225" s="1122"/>
      <c r="O225" s="1123"/>
      <c r="P225" s="1124"/>
      <c r="Q225" s="1125"/>
      <c r="R225" s="1126"/>
      <c r="S225" s="1125"/>
      <c r="T225" s="1124"/>
      <c r="U225" s="1125"/>
      <c r="V225" s="1124"/>
    </row>
    <row r="226" spans="2:22" s="1175" customFormat="1" ht="22.5" customHeight="1" thickTop="1">
      <c r="B226" s="1176"/>
      <c r="C226" s="1177"/>
      <c r="D226" s="1176" t="s">
        <v>170</v>
      </c>
      <c r="E226" s="1128" t="s">
        <v>14</v>
      </c>
      <c r="F226" s="1587" t="s">
        <v>2223</v>
      </c>
      <c r="G226" s="1127">
        <v>217200000</v>
      </c>
      <c r="H226" s="1128" t="s">
        <v>677</v>
      </c>
      <c r="I226" s="1128" t="s">
        <v>677</v>
      </c>
      <c r="J226" s="1128" t="s">
        <v>677</v>
      </c>
      <c r="K226" s="1128" t="s">
        <v>677</v>
      </c>
      <c r="L226" s="1128" t="s">
        <v>554</v>
      </c>
      <c r="M226" s="1178">
        <f>G226/12</f>
        <v>18100000</v>
      </c>
      <c r="N226" s="1130" t="s">
        <v>2224</v>
      </c>
      <c r="O226" s="1131" t="s">
        <v>1257</v>
      </c>
      <c r="P226" s="1584" t="s">
        <v>2225</v>
      </c>
      <c r="Q226" s="1131" t="s">
        <v>1257</v>
      </c>
      <c r="R226" s="1584" t="s">
        <v>2225</v>
      </c>
      <c r="S226" s="1131" t="s">
        <v>1257</v>
      </c>
      <c r="T226" s="1584" t="s">
        <v>2225</v>
      </c>
      <c r="U226" s="1131" t="s">
        <v>1257</v>
      </c>
      <c r="V226" s="1584" t="s">
        <v>2226</v>
      </c>
    </row>
    <row r="227" spans="2:22" ht="33.75">
      <c r="B227" s="106"/>
      <c r="C227" s="477"/>
      <c r="D227" s="106" t="s">
        <v>80</v>
      </c>
      <c r="E227" s="109" t="s">
        <v>14</v>
      </c>
      <c r="F227" s="1587"/>
      <c r="G227" s="1111">
        <v>108600000</v>
      </c>
      <c r="H227" s="109" t="s">
        <v>677</v>
      </c>
      <c r="I227" s="109" t="s">
        <v>677</v>
      </c>
      <c r="J227" s="109" t="s">
        <v>677</v>
      </c>
      <c r="K227" s="109" t="s">
        <v>677</v>
      </c>
      <c r="L227" s="109" t="s">
        <v>554</v>
      </c>
      <c r="M227" s="1112">
        <f t="shared" ref="M227:M255" si="4">G227/12</f>
        <v>9050000</v>
      </c>
      <c r="N227" s="1102" t="s">
        <v>2224</v>
      </c>
      <c r="O227" s="1108" t="s">
        <v>1257</v>
      </c>
      <c r="P227" s="1585"/>
      <c r="Q227" s="1108" t="s">
        <v>1257</v>
      </c>
      <c r="R227" s="1585"/>
      <c r="S227" s="1108" t="s">
        <v>1257</v>
      </c>
      <c r="T227" s="1585"/>
      <c r="U227" s="1108" t="s">
        <v>1257</v>
      </c>
      <c r="V227" s="1585"/>
    </row>
    <row r="228" spans="2:22" ht="33.75">
      <c r="B228" s="106"/>
      <c r="C228" s="477"/>
      <c r="D228" s="106" t="s">
        <v>689</v>
      </c>
      <c r="E228" s="109" t="s">
        <v>14</v>
      </c>
      <c r="F228" s="1587"/>
      <c r="G228" s="1111">
        <v>162900000</v>
      </c>
      <c r="H228" s="109" t="s">
        <v>677</v>
      </c>
      <c r="I228" s="109" t="s">
        <v>677</v>
      </c>
      <c r="J228" s="109" t="s">
        <v>677</v>
      </c>
      <c r="K228" s="109" t="s">
        <v>677</v>
      </c>
      <c r="L228" s="109" t="s">
        <v>554</v>
      </c>
      <c r="M228" s="1112">
        <f t="shared" si="4"/>
        <v>13575000</v>
      </c>
      <c r="N228" s="1102" t="s">
        <v>2224</v>
      </c>
      <c r="O228" s="1108" t="s">
        <v>1257</v>
      </c>
      <c r="P228" s="1585"/>
      <c r="Q228" s="1108" t="s">
        <v>1257</v>
      </c>
      <c r="R228" s="1585"/>
      <c r="S228" s="1108" t="s">
        <v>1257</v>
      </c>
      <c r="T228" s="1585"/>
      <c r="U228" s="1108" t="s">
        <v>1257</v>
      </c>
      <c r="V228" s="1585"/>
    </row>
    <row r="229" spans="2:22" ht="33.75">
      <c r="B229" s="106"/>
      <c r="C229" s="477"/>
      <c r="D229" s="106" t="s">
        <v>491</v>
      </c>
      <c r="E229" s="109" t="s">
        <v>14</v>
      </c>
      <c r="F229" s="1587"/>
      <c r="G229" s="1111">
        <v>108600000</v>
      </c>
      <c r="H229" s="109" t="s">
        <v>677</v>
      </c>
      <c r="I229" s="109" t="s">
        <v>677</v>
      </c>
      <c r="J229" s="109" t="s">
        <v>677</v>
      </c>
      <c r="K229" s="109" t="s">
        <v>677</v>
      </c>
      <c r="L229" s="109" t="s">
        <v>554</v>
      </c>
      <c r="M229" s="1112">
        <f t="shared" si="4"/>
        <v>9050000</v>
      </c>
      <c r="N229" s="1102" t="s">
        <v>2224</v>
      </c>
      <c r="O229" s="1108" t="s">
        <v>1257</v>
      </c>
      <c r="P229" s="1585"/>
      <c r="Q229" s="1108" t="s">
        <v>1257</v>
      </c>
      <c r="R229" s="1585"/>
      <c r="S229" s="1108" t="s">
        <v>1257</v>
      </c>
      <c r="T229" s="1585"/>
      <c r="U229" s="1108" t="s">
        <v>1257</v>
      </c>
      <c r="V229" s="1585"/>
    </row>
    <row r="230" spans="2:22" ht="33.75">
      <c r="B230" s="106"/>
      <c r="C230" s="477"/>
      <c r="D230" s="106" t="s">
        <v>113</v>
      </c>
      <c r="E230" s="109" t="s">
        <v>14</v>
      </c>
      <c r="F230" s="1587"/>
      <c r="G230" s="1111">
        <v>108600000</v>
      </c>
      <c r="H230" s="109" t="s">
        <v>677</v>
      </c>
      <c r="I230" s="109" t="s">
        <v>677</v>
      </c>
      <c r="J230" s="109" t="s">
        <v>677</v>
      </c>
      <c r="K230" s="109" t="s">
        <v>677</v>
      </c>
      <c r="L230" s="109" t="s">
        <v>554</v>
      </c>
      <c r="M230" s="1112">
        <f t="shared" si="4"/>
        <v>9050000</v>
      </c>
      <c r="N230" s="1102" t="s">
        <v>2224</v>
      </c>
      <c r="O230" s="1108" t="s">
        <v>1257</v>
      </c>
      <c r="P230" s="1585"/>
      <c r="Q230" s="1108" t="s">
        <v>1257</v>
      </c>
      <c r="R230" s="1585"/>
      <c r="S230" s="1108" t="s">
        <v>1257</v>
      </c>
      <c r="T230" s="1585"/>
      <c r="U230" s="1108" t="s">
        <v>1257</v>
      </c>
      <c r="V230" s="1585"/>
    </row>
    <row r="231" spans="2:22" ht="33.75">
      <c r="B231" s="106"/>
      <c r="C231" s="477"/>
      <c r="D231" s="106" t="s">
        <v>109</v>
      </c>
      <c r="E231" s="109" t="s">
        <v>14</v>
      </c>
      <c r="F231" s="1587"/>
      <c r="G231" s="1111">
        <v>108600000</v>
      </c>
      <c r="H231" s="109" t="s">
        <v>677</v>
      </c>
      <c r="I231" s="109" t="s">
        <v>677</v>
      </c>
      <c r="J231" s="109" t="s">
        <v>677</v>
      </c>
      <c r="K231" s="109" t="s">
        <v>677</v>
      </c>
      <c r="L231" s="109" t="s">
        <v>554</v>
      </c>
      <c r="M231" s="1112">
        <f t="shared" si="4"/>
        <v>9050000</v>
      </c>
      <c r="N231" s="1102" t="s">
        <v>2224</v>
      </c>
      <c r="O231" s="1108" t="s">
        <v>1257</v>
      </c>
      <c r="P231" s="1585"/>
      <c r="Q231" s="1108" t="s">
        <v>1257</v>
      </c>
      <c r="R231" s="1585"/>
      <c r="S231" s="1108" t="s">
        <v>1257</v>
      </c>
      <c r="T231" s="1585"/>
      <c r="U231" s="1108" t="s">
        <v>1257</v>
      </c>
      <c r="V231" s="1585"/>
    </row>
    <row r="232" spans="2:22" ht="33.75">
      <c r="B232" s="106"/>
      <c r="C232" s="477"/>
      <c r="D232" s="106" t="s">
        <v>112</v>
      </c>
      <c r="E232" s="109" t="s">
        <v>14</v>
      </c>
      <c r="F232" s="1587"/>
      <c r="G232" s="1111">
        <v>108600000</v>
      </c>
      <c r="H232" s="109" t="s">
        <v>677</v>
      </c>
      <c r="I232" s="109" t="s">
        <v>677</v>
      </c>
      <c r="J232" s="109" t="s">
        <v>677</v>
      </c>
      <c r="K232" s="109" t="s">
        <v>677</v>
      </c>
      <c r="L232" s="109" t="s">
        <v>554</v>
      </c>
      <c r="M232" s="1112">
        <f t="shared" si="4"/>
        <v>9050000</v>
      </c>
      <c r="N232" s="1102" t="s">
        <v>2224</v>
      </c>
      <c r="O232" s="1108" t="s">
        <v>1257</v>
      </c>
      <c r="P232" s="1585"/>
      <c r="Q232" s="1108" t="s">
        <v>1257</v>
      </c>
      <c r="R232" s="1585"/>
      <c r="S232" s="1108" t="s">
        <v>1257</v>
      </c>
      <c r="T232" s="1585"/>
      <c r="U232" s="1108" t="s">
        <v>1257</v>
      </c>
      <c r="V232" s="1585"/>
    </row>
    <row r="233" spans="2:22" ht="33.75">
      <c r="B233" s="106"/>
      <c r="C233" s="477"/>
      <c r="D233" s="106" t="s">
        <v>108</v>
      </c>
      <c r="E233" s="109" t="s">
        <v>14</v>
      </c>
      <c r="F233" s="1587"/>
      <c r="G233" s="1111">
        <v>162900000</v>
      </c>
      <c r="H233" s="109" t="s">
        <v>677</v>
      </c>
      <c r="I233" s="109" t="s">
        <v>677</v>
      </c>
      <c r="J233" s="109" t="s">
        <v>677</v>
      </c>
      <c r="K233" s="109" t="s">
        <v>677</v>
      </c>
      <c r="L233" s="109" t="s">
        <v>554</v>
      </c>
      <c r="M233" s="1112">
        <f t="shared" si="4"/>
        <v>13575000</v>
      </c>
      <c r="N233" s="1102" t="s">
        <v>2224</v>
      </c>
      <c r="O233" s="1108" t="s">
        <v>1257</v>
      </c>
      <c r="P233" s="1585"/>
      <c r="Q233" s="1108" t="s">
        <v>1257</v>
      </c>
      <c r="R233" s="1585"/>
      <c r="S233" s="1108" t="s">
        <v>1257</v>
      </c>
      <c r="T233" s="1585"/>
      <c r="U233" s="1108" t="s">
        <v>1257</v>
      </c>
      <c r="V233" s="1585"/>
    </row>
    <row r="234" spans="2:22" ht="33.75">
      <c r="B234" s="106"/>
      <c r="C234" s="477"/>
      <c r="D234" s="106" t="s">
        <v>114</v>
      </c>
      <c r="E234" s="109" t="s">
        <v>14</v>
      </c>
      <c r="F234" s="1587"/>
      <c r="G234" s="1111">
        <v>108600000</v>
      </c>
      <c r="H234" s="109" t="s">
        <v>677</v>
      </c>
      <c r="I234" s="109" t="s">
        <v>677</v>
      </c>
      <c r="J234" s="109" t="s">
        <v>677</v>
      </c>
      <c r="K234" s="109" t="s">
        <v>677</v>
      </c>
      <c r="L234" s="109" t="s">
        <v>554</v>
      </c>
      <c r="M234" s="1112">
        <f t="shared" si="4"/>
        <v>9050000</v>
      </c>
      <c r="N234" s="1102" t="s">
        <v>2224</v>
      </c>
      <c r="O234" s="1108" t="s">
        <v>1257</v>
      </c>
      <c r="P234" s="1585"/>
      <c r="Q234" s="1108" t="s">
        <v>1257</v>
      </c>
      <c r="R234" s="1585"/>
      <c r="S234" s="1108" t="s">
        <v>1257</v>
      </c>
      <c r="T234" s="1585"/>
      <c r="U234" s="1108" t="s">
        <v>1257</v>
      </c>
      <c r="V234" s="1585"/>
    </row>
    <row r="235" spans="2:22" ht="33.75">
      <c r="B235" s="106"/>
      <c r="C235" s="477"/>
      <c r="D235" s="106" t="s">
        <v>685</v>
      </c>
      <c r="E235" s="109" t="s">
        <v>14</v>
      </c>
      <c r="F235" s="1587"/>
      <c r="G235" s="1111">
        <v>162900000</v>
      </c>
      <c r="H235" s="109" t="s">
        <v>677</v>
      </c>
      <c r="I235" s="109" t="s">
        <v>677</v>
      </c>
      <c r="J235" s="109" t="s">
        <v>677</v>
      </c>
      <c r="K235" s="109" t="s">
        <v>677</v>
      </c>
      <c r="L235" s="109" t="s">
        <v>554</v>
      </c>
      <c r="M235" s="1112">
        <f t="shared" si="4"/>
        <v>13575000</v>
      </c>
      <c r="N235" s="1102" t="s">
        <v>2224</v>
      </c>
      <c r="O235" s="1108" t="s">
        <v>1257</v>
      </c>
      <c r="P235" s="1585"/>
      <c r="Q235" s="1108" t="s">
        <v>1257</v>
      </c>
      <c r="R235" s="1585"/>
      <c r="S235" s="1108" t="s">
        <v>1257</v>
      </c>
      <c r="T235" s="1585"/>
      <c r="U235" s="1108" t="s">
        <v>1257</v>
      </c>
      <c r="V235" s="1585"/>
    </row>
    <row r="236" spans="2:22" ht="33.75">
      <c r="B236" s="106"/>
      <c r="C236" s="477"/>
      <c r="D236" s="106" t="s">
        <v>424</v>
      </c>
      <c r="E236" s="109" t="s">
        <v>14</v>
      </c>
      <c r="F236" s="1587"/>
      <c r="G236" s="1111">
        <v>108600000</v>
      </c>
      <c r="H236" s="109" t="s">
        <v>677</v>
      </c>
      <c r="I236" s="109" t="s">
        <v>677</v>
      </c>
      <c r="J236" s="109" t="s">
        <v>677</v>
      </c>
      <c r="K236" s="109" t="s">
        <v>677</v>
      </c>
      <c r="L236" s="109" t="s">
        <v>554</v>
      </c>
      <c r="M236" s="1112">
        <f t="shared" si="4"/>
        <v>9050000</v>
      </c>
      <c r="N236" s="1102" t="s">
        <v>2224</v>
      </c>
      <c r="O236" s="1108" t="s">
        <v>1257</v>
      </c>
      <c r="P236" s="1585"/>
      <c r="Q236" s="1108" t="s">
        <v>1257</v>
      </c>
      <c r="R236" s="1585"/>
      <c r="S236" s="1108" t="s">
        <v>1257</v>
      </c>
      <c r="T236" s="1585"/>
      <c r="U236" s="1108" t="s">
        <v>1257</v>
      </c>
      <c r="V236" s="1585"/>
    </row>
    <row r="237" spans="2:22" ht="33.75">
      <c r="B237" s="106"/>
      <c r="C237" s="477"/>
      <c r="D237" s="106" t="s">
        <v>389</v>
      </c>
      <c r="E237" s="109" t="s">
        <v>14</v>
      </c>
      <c r="F237" s="1587"/>
      <c r="G237" s="1111">
        <v>162900000</v>
      </c>
      <c r="H237" s="109" t="s">
        <v>677</v>
      </c>
      <c r="I237" s="109" t="s">
        <v>677</v>
      </c>
      <c r="J237" s="109" t="s">
        <v>677</v>
      </c>
      <c r="K237" s="109" t="s">
        <v>677</v>
      </c>
      <c r="L237" s="109" t="s">
        <v>554</v>
      </c>
      <c r="M237" s="1112">
        <f t="shared" si="4"/>
        <v>13575000</v>
      </c>
      <c r="N237" s="1102" t="s">
        <v>2224</v>
      </c>
      <c r="O237" s="1108" t="s">
        <v>1257</v>
      </c>
      <c r="P237" s="1585"/>
      <c r="Q237" s="1108" t="s">
        <v>1257</v>
      </c>
      <c r="R237" s="1585"/>
      <c r="S237" s="1108" t="s">
        <v>1257</v>
      </c>
      <c r="T237" s="1585"/>
      <c r="U237" s="1108" t="s">
        <v>1257</v>
      </c>
      <c r="V237" s="1585"/>
    </row>
    <row r="238" spans="2:22" ht="33.75">
      <c r="B238" s="106"/>
      <c r="C238" s="477"/>
      <c r="D238" s="106" t="s">
        <v>496</v>
      </c>
      <c r="E238" s="109" t="s">
        <v>14</v>
      </c>
      <c r="F238" s="1587"/>
      <c r="G238" s="1111">
        <v>108600000</v>
      </c>
      <c r="H238" s="109" t="s">
        <v>677</v>
      </c>
      <c r="I238" s="109" t="s">
        <v>677</v>
      </c>
      <c r="J238" s="109" t="s">
        <v>677</v>
      </c>
      <c r="K238" s="109" t="s">
        <v>677</v>
      </c>
      <c r="L238" s="109" t="s">
        <v>554</v>
      </c>
      <c r="M238" s="1112">
        <f t="shared" si="4"/>
        <v>9050000</v>
      </c>
      <c r="N238" s="1102" t="s">
        <v>2224</v>
      </c>
      <c r="O238" s="1108" t="s">
        <v>1257</v>
      </c>
      <c r="P238" s="1585"/>
      <c r="Q238" s="1108" t="s">
        <v>1257</v>
      </c>
      <c r="R238" s="1585"/>
      <c r="S238" s="1108" t="s">
        <v>1257</v>
      </c>
      <c r="T238" s="1585"/>
      <c r="U238" s="1108" t="s">
        <v>1257</v>
      </c>
      <c r="V238" s="1585"/>
    </row>
    <row r="239" spans="2:22" ht="33.75">
      <c r="B239" s="106"/>
      <c r="C239" s="477"/>
      <c r="D239" s="106" t="s">
        <v>787</v>
      </c>
      <c r="E239" s="109" t="s">
        <v>14</v>
      </c>
      <c r="F239" s="1587"/>
      <c r="G239" s="1111">
        <v>108600000</v>
      </c>
      <c r="H239" s="109" t="s">
        <v>677</v>
      </c>
      <c r="I239" s="109" t="s">
        <v>677</v>
      </c>
      <c r="J239" s="109" t="s">
        <v>677</v>
      </c>
      <c r="K239" s="109" t="s">
        <v>677</v>
      </c>
      <c r="L239" s="109" t="s">
        <v>554</v>
      </c>
      <c r="M239" s="1112">
        <f t="shared" si="4"/>
        <v>9050000</v>
      </c>
      <c r="N239" s="1102" t="s">
        <v>2224</v>
      </c>
      <c r="O239" s="1108" t="s">
        <v>1257</v>
      </c>
      <c r="P239" s="1585"/>
      <c r="Q239" s="1108" t="s">
        <v>1257</v>
      </c>
      <c r="R239" s="1585"/>
      <c r="S239" s="1108" t="s">
        <v>1257</v>
      </c>
      <c r="T239" s="1585"/>
      <c r="U239" s="1108" t="s">
        <v>1257</v>
      </c>
      <c r="V239" s="1585"/>
    </row>
    <row r="240" spans="2:22" ht="33.75">
      <c r="B240" s="106"/>
      <c r="C240" s="477"/>
      <c r="D240" s="106" t="s">
        <v>0</v>
      </c>
      <c r="E240" s="109" t="s">
        <v>14</v>
      </c>
      <c r="F240" s="1587"/>
      <c r="G240" s="1111">
        <v>92790000</v>
      </c>
      <c r="H240" s="109" t="s">
        <v>677</v>
      </c>
      <c r="I240" s="109" t="s">
        <v>677</v>
      </c>
      <c r="J240" s="109" t="s">
        <v>677</v>
      </c>
      <c r="K240" s="109" t="s">
        <v>677</v>
      </c>
      <c r="L240" s="109" t="s">
        <v>554</v>
      </c>
      <c r="M240" s="1112">
        <f t="shared" si="4"/>
        <v>7732500</v>
      </c>
      <c r="N240" s="1102" t="s">
        <v>2224</v>
      </c>
      <c r="O240" s="1108" t="s">
        <v>1257</v>
      </c>
      <c r="P240" s="1585"/>
      <c r="Q240" s="1108" t="s">
        <v>1257</v>
      </c>
      <c r="R240" s="1585"/>
      <c r="S240" s="1108" t="s">
        <v>1257</v>
      </c>
      <c r="T240" s="1585"/>
      <c r="U240" s="1108" t="s">
        <v>1257</v>
      </c>
      <c r="V240" s="1585"/>
    </row>
    <row r="241" spans="2:22" ht="33.75">
      <c r="B241" s="106"/>
      <c r="C241" s="477"/>
      <c r="D241" s="106" t="s">
        <v>170</v>
      </c>
      <c r="E241" s="109" t="s">
        <v>14</v>
      </c>
      <c r="F241" s="1587" t="s">
        <v>2227</v>
      </c>
      <c r="G241" s="1111">
        <v>82841000</v>
      </c>
      <c r="H241" s="109" t="s">
        <v>677</v>
      </c>
      <c r="I241" s="109" t="s">
        <v>677</v>
      </c>
      <c r="J241" s="109" t="s">
        <v>677</v>
      </c>
      <c r="K241" s="109" t="s">
        <v>677</v>
      </c>
      <c r="L241" s="109" t="s">
        <v>554</v>
      </c>
      <c r="M241" s="1112">
        <f t="shared" si="4"/>
        <v>6903416.666666667</v>
      </c>
      <c r="N241" s="1102" t="s">
        <v>2224</v>
      </c>
      <c r="O241" s="1108" t="s">
        <v>1257</v>
      </c>
      <c r="P241" s="1585"/>
      <c r="Q241" s="1108" t="s">
        <v>1257</v>
      </c>
      <c r="R241" s="1585"/>
      <c r="S241" s="1108" t="s">
        <v>1257</v>
      </c>
      <c r="T241" s="1585"/>
      <c r="U241" s="1108" t="s">
        <v>1257</v>
      </c>
      <c r="V241" s="1585"/>
    </row>
    <row r="242" spans="2:22" ht="33.75">
      <c r="B242" s="106"/>
      <c r="C242" s="477"/>
      <c r="D242" s="106" t="s">
        <v>80</v>
      </c>
      <c r="E242" s="109" t="s">
        <v>14</v>
      </c>
      <c r="F242" s="1587"/>
      <c r="G242" s="1111">
        <v>41421000</v>
      </c>
      <c r="H242" s="109" t="s">
        <v>677</v>
      </c>
      <c r="I242" s="109" t="s">
        <v>677</v>
      </c>
      <c r="J242" s="109" t="s">
        <v>677</v>
      </c>
      <c r="K242" s="109" t="s">
        <v>677</v>
      </c>
      <c r="L242" s="109" t="s">
        <v>554</v>
      </c>
      <c r="M242" s="1112">
        <f t="shared" si="4"/>
        <v>3451750</v>
      </c>
      <c r="N242" s="1102" t="s">
        <v>2224</v>
      </c>
      <c r="O242" s="1108" t="s">
        <v>1257</v>
      </c>
      <c r="P242" s="1585"/>
      <c r="Q242" s="1108" t="s">
        <v>1257</v>
      </c>
      <c r="R242" s="1585"/>
      <c r="S242" s="1108" t="s">
        <v>1257</v>
      </c>
      <c r="T242" s="1585"/>
      <c r="U242" s="1108" t="s">
        <v>1257</v>
      </c>
      <c r="V242" s="1585"/>
    </row>
    <row r="243" spans="2:22" ht="33.75">
      <c r="B243" s="106"/>
      <c r="C243" s="477"/>
      <c r="D243" s="106" t="s">
        <v>689</v>
      </c>
      <c r="E243" s="109" t="s">
        <v>14</v>
      </c>
      <c r="F243" s="1587"/>
      <c r="G243" s="1111">
        <v>62131000</v>
      </c>
      <c r="H243" s="109" t="s">
        <v>677</v>
      </c>
      <c r="I243" s="109" t="s">
        <v>677</v>
      </c>
      <c r="J243" s="109" t="s">
        <v>677</v>
      </c>
      <c r="K243" s="109" t="s">
        <v>677</v>
      </c>
      <c r="L243" s="109" t="s">
        <v>554</v>
      </c>
      <c r="M243" s="1112">
        <f t="shared" si="4"/>
        <v>5177583.333333333</v>
      </c>
      <c r="N243" s="1102" t="s">
        <v>2224</v>
      </c>
      <c r="O243" s="1108" t="s">
        <v>1257</v>
      </c>
      <c r="P243" s="1585"/>
      <c r="Q243" s="1108" t="s">
        <v>1257</v>
      </c>
      <c r="R243" s="1585"/>
      <c r="S243" s="1108" t="s">
        <v>1257</v>
      </c>
      <c r="T243" s="1585"/>
      <c r="U243" s="1108" t="s">
        <v>1257</v>
      </c>
      <c r="V243" s="1585"/>
    </row>
    <row r="244" spans="2:22" ht="33.75">
      <c r="B244" s="106"/>
      <c r="C244" s="477"/>
      <c r="D244" s="106" t="s">
        <v>491</v>
      </c>
      <c r="E244" s="109" t="s">
        <v>14</v>
      </c>
      <c r="F244" s="1587"/>
      <c r="G244" s="1111">
        <v>41421000</v>
      </c>
      <c r="H244" s="109" t="s">
        <v>677</v>
      </c>
      <c r="I244" s="109" t="s">
        <v>677</v>
      </c>
      <c r="J244" s="109" t="s">
        <v>677</v>
      </c>
      <c r="K244" s="109" t="s">
        <v>677</v>
      </c>
      <c r="L244" s="109" t="s">
        <v>554</v>
      </c>
      <c r="M244" s="1112">
        <f t="shared" si="4"/>
        <v>3451750</v>
      </c>
      <c r="N244" s="1102" t="s">
        <v>2224</v>
      </c>
      <c r="O244" s="1108" t="s">
        <v>1257</v>
      </c>
      <c r="P244" s="1585"/>
      <c r="Q244" s="1108" t="s">
        <v>1257</v>
      </c>
      <c r="R244" s="1585"/>
      <c r="S244" s="1108" t="s">
        <v>1257</v>
      </c>
      <c r="T244" s="1585"/>
      <c r="U244" s="1108" t="s">
        <v>1257</v>
      </c>
      <c r="V244" s="1585"/>
    </row>
    <row r="245" spans="2:22" ht="33.75">
      <c r="B245" s="106"/>
      <c r="C245" s="477"/>
      <c r="D245" s="106" t="s">
        <v>113</v>
      </c>
      <c r="E245" s="109" t="s">
        <v>14</v>
      </c>
      <c r="F245" s="1587"/>
      <c r="G245" s="1111">
        <v>41421000</v>
      </c>
      <c r="H245" s="109" t="s">
        <v>677</v>
      </c>
      <c r="I245" s="109" t="s">
        <v>677</v>
      </c>
      <c r="J245" s="109" t="s">
        <v>677</v>
      </c>
      <c r="K245" s="109" t="s">
        <v>677</v>
      </c>
      <c r="L245" s="109" t="s">
        <v>554</v>
      </c>
      <c r="M245" s="1112">
        <f t="shared" si="4"/>
        <v>3451750</v>
      </c>
      <c r="N245" s="1102" t="s">
        <v>2224</v>
      </c>
      <c r="O245" s="1108" t="s">
        <v>1257</v>
      </c>
      <c r="P245" s="1585"/>
      <c r="Q245" s="1108" t="s">
        <v>1257</v>
      </c>
      <c r="R245" s="1585"/>
      <c r="S245" s="1108" t="s">
        <v>1257</v>
      </c>
      <c r="T245" s="1585"/>
      <c r="U245" s="1108" t="s">
        <v>1257</v>
      </c>
      <c r="V245" s="1585"/>
    </row>
    <row r="246" spans="2:22" ht="33.75">
      <c r="B246" s="106"/>
      <c r="C246" s="477"/>
      <c r="D246" s="106" t="s">
        <v>109</v>
      </c>
      <c r="E246" s="109" t="s">
        <v>14</v>
      </c>
      <c r="F246" s="1587"/>
      <c r="G246" s="1111">
        <v>41421000</v>
      </c>
      <c r="H246" s="109" t="s">
        <v>677</v>
      </c>
      <c r="I246" s="109" t="s">
        <v>677</v>
      </c>
      <c r="J246" s="109" t="s">
        <v>677</v>
      </c>
      <c r="K246" s="109" t="s">
        <v>677</v>
      </c>
      <c r="L246" s="109" t="s">
        <v>554</v>
      </c>
      <c r="M246" s="1112">
        <f t="shared" si="4"/>
        <v>3451750</v>
      </c>
      <c r="N246" s="1102" t="s">
        <v>2224</v>
      </c>
      <c r="O246" s="1108" t="s">
        <v>1257</v>
      </c>
      <c r="P246" s="1585"/>
      <c r="Q246" s="1108" t="s">
        <v>1257</v>
      </c>
      <c r="R246" s="1585"/>
      <c r="S246" s="1108" t="s">
        <v>1257</v>
      </c>
      <c r="T246" s="1585"/>
      <c r="U246" s="1108" t="s">
        <v>1257</v>
      </c>
      <c r="V246" s="1585"/>
    </row>
    <row r="247" spans="2:22" ht="33.75">
      <c r="B247" s="106"/>
      <c r="C247" s="477"/>
      <c r="D247" s="106" t="s">
        <v>112</v>
      </c>
      <c r="E247" s="109" t="s">
        <v>14</v>
      </c>
      <c r="F247" s="1587"/>
      <c r="G247" s="1111">
        <v>62131000</v>
      </c>
      <c r="H247" s="109" t="s">
        <v>677</v>
      </c>
      <c r="I247" s="109" t="s">
        <v>677</v>
      </c>
      <c r="J247" s="109" t="s">
        <v>677</v>
      </c>
      <c r="K247" s="109" t="s">
        <v>677</v>
      </c>
      <c r="L247" s="109" t="s">
        <v>554</v>
      </c>
      <c r="M247" s="1112">
        <f t="shared" si="4"/>
        <v>5177583.333333333</v>
      </c>
      <c r="N247" s="1102" t="s">
        <v>2224</v>
      </c>
      <c r="O247" s="1108" t="s">
        <v>1257</v>
      </c>
      <c r="P247" s="1585"/>
      <c r="Q247" s="1108" t="s">
        <v>1257</v>
      </c>
      <c r="R247" s="1585"/>
      <c r="S247" s="1108" t="s">
        <v>1257</v>
      </c>
      <c r="T247" s="1585"/>
      <c r="U247" s="1108" t="s">
        <v>1257</v>
      </c>
      <c r="V247" s="1585"/>
    </row>
    <row r="248" spans="2:22" ht="33.75">
      <c r="B248" s="106"/>
      <c r="C248" s="477"/>
      <c r="D248" s="106" t="s">
        <v>108</v>
      </c>
      <c r="E248" s="109" t="s">
        <v>14</v>
      </c>
      <c r="F248" s="1587"/>
      <c r="G248" s="1111">
        <v>41421000</v>
      </c>
      <c r="H248" s="109" t="s">
        <v>677</v>
      </c>
      <c r="I248" s="109" t="s">
        <v>677</v>
      </c>
      <c r="J248" s="109" t="s">
        <v>677</v>
      </c>
      <c r="K248" s="109" t="s">
        <v>677</v>
      </c>
      <c r="L248" s="109" t="s">
        <v>554</v>
      </c>
      <c r="M248" s="1112">
        <f t="shared" si="4"/>
        <v>3451750</v>
      </c>
      <c r="N248" s="1102" t="s">
        <v>2224</v>
      </c>
      <c r="O248" s="1108" t="s">
        <v>1257</v>
      </c>
      <c r="P248" s="1585"/>
      <c r="Q248" s="1108" t="s">
        <v>1257</v>
      </c>
      <c r="R248" s="1585"/>
      <c r="S248" s="1108" t="s">
        <v>1257</v>
      </c>
      <c r="T248" s="1585"/>
      <c r="U248" s="1108" t="s">
        <v>1257</v>
      </c>
      <c r="V248" s="1585"/>
    </row>
    <row r="249" spans="2:22" ht="33.75">
      <c r="B249" s="106"/>
      <c r="C249" s="477"/>
      <c r="D249" s="106" t="s">
        <v>114</v>
      </c>
      <c r="E249" s="109" t="s">
        <v>14</v>
      </c>
      <c r="F249" s="1587"/>
      <c r="G249" s="1111">
        <v>41421000</v>
      </c>
      <c r="H249" s="109" t="s">
        <v>677</v>
      </c>
      <c r="I249" s="109" t="s">
        <v>677</v>
      </c>
      <c r="J249" s="109" t="s">
        <v>677</v>
      </c>
      <c r="K249" s="109" t="s">
        <v>677</v>
      </c>
      <c r="L249" s="109" t="s">
        <v>554</v>
      </c>
      <c r="M249" s="1112">
        <f t="shared" si="4"/>
        <v>3451750</v>
      </c>
      <c r="N249" s="1102" t="s">
        <v>2224</v>
      </c>
      <c r="O249" s="1108" t="s">
        <v>1257</v>
      </c>
      <c r="P249" s="1585"/>
      <c r="Q249" s="1108" t="s">
        <v>1257</v>
      </c>
      <c r="R249" s="1585"/>
      <c r="S249" s="1108" t="s">
        <v>1257</v>
      </c>
      <c r="T249" s="1585"/>
      <c r="U249" s="1108" t="s">
        <v>1257</v>
      </c>
      <c r="V249" s="1585"/>
    </row>
    <row r="250" spans="2:22" ht="33.75">
      <c r="B250" s="106"/>
      <c r="C250" s="477"/>
      <c r="D250" s="106" t="s">
        <v>685</v>
      </c>
      <c r="E250" s="109" t="s">
        <v>14</v>
      </c>
      <c r="F250" s="1587"/>
      <c r="G250" s="1111">
        <v>62131000</v>
      </c>
      <c r="H250" s="109" t="s">
        <v>677</v>
      </c>
      <c r="I250" s="109" t="s">
        <v>677</v>
      </c>
      <c r="J250" s="109" t="s">
        <v>677</v>
      </c>
      <c r="K250" s="109" t="s">
        <v>677</v>
      </c>
      <c r="L250" s="109" t="s">
        <v>554</v>
      </c>
      <c r="M250" s="1112">
        <f t="shared" si="4"/>
        <v>5177583.333333333</v>
      </c>
      <c r="N250" s="1102" t="s">
        <v>2224</v>
      </c>
      <c r="O250" s="1108" t="s">
        <v>1257</v>
      </c>
      <c r="P250" s="1585"/>
      <c r="Q250" s="1108" t="s">
        <v>1257</v>
      </c>
      <c r="R250" s="1585"/>
      <c r="S250" s="1108" t="s">
        <v>1257</v>
      </c>
      <c r="T250" s="1585"/>
      <c r="U250" s="1108" t="s">
        <v>1257</v>
      </c>
      <c r="V250" s="1585"/>
    </row>
    <row r="251" spans="2:22" ht="33.75">
      <c r="B251" s="106"/>
      <c r="C251" s="477"/>
      <c r="D251" s="106" t="s">
        <v>424</v>
      </c>
      <c r="E251" s="109" t="s">
        <v>14</v>
      </c>
      <c r="F251" s="1587"/>
      <c r="G251" s="1111">
        <v>41421000</v>
      </c>
      <c r="H251" s="109" t="s">
        <v>677</v>
      </c>
      <c r="I251" s="109" t="s">
        <v>677</v>
      </c>
      <c r="J251" s="109" t="s">
        <v>677</v>
      </c>
      <c r="K251" s="109" t="s">
        <v>677</v>
      </c>
      <c r="L251" s="109" t="s">
        <v>554</v>
      </c>
      <c r="M251" s="1112">
        <f t="shared" si="4"/>
        <v>3451750</v>
      </c>
      <c r="N251" s="1102" t="s">
        <v>2224</v>
      </c>
      <c r="O251" s="1108" t="s">
        <v>1257</v>
      </c>
      <c r="P251" s="1585"/>
      <c r="Q251" s="1108" t="s">
        <v>1257</v>
      </c>
      <c r="R251" s="1585"/>
      <c r="S251" s="1108" t="s">
        <v>1257</v>
      </c>
      <c r="T251" s="1585"/>
      <c r="U251" s="1108" t="s">
        <v>1257</v>
      </c>
      <c r="V251" s="1585"/>
    </row>
    <row r="252" spans="2:22" ht="33.75">
      <c r="B252" s="106"/>
      <c r="C252" s="477"/>
      <c r="D252" s="106" t="s">
        <v>389</v>
      </c>
      <c r="E252" s="109" t="s">
        <v>14</v>
      </c>
      <c r="F252" s="1587"/>
      <c r="G252" s="1111">
        <v>62131000</v>
      </c>
      <c r="H252" s="109" t="s">
        <v>677</v>
      </c>
      <c r="I252" s="109" t="s">
        <v>677</v>
      </c>
      <c r="J252" s="109" t="s">
        <v>677</v>
      </c>
      <c r="K252" s="109" t="s">
        <v>677</v>
      </c>
      <c r="L252" s="109" t="s">
        <v>554</v>
      </c>
      <c r="M252" s="1112">
        <f t="shared" si="4"/>
        <v>5177583.333333333</v>
      </c>
      <c r="N252" s="1102" t="s">
        <v>2224</v>
      </c>
      <c r="O252" s="1108" t="s">
        <v>1257</v>
      </c>
      <c r="P252" s="1585"/>
      <c r="Q252" s="1108" t="s">
        <v>1257</v>
      </c>
      <c r="R252" s="1585"/>
      <c r="S252" s="1108" t="s">
        <v>1257</v>
      </c>
      <c r="T252" s="1585"/>
      <c r="U252" s="1108" t="s">
        <v>1257</v>
      </c>
      <c r="V252" s="1585"/>
    </row>
    <row r="253" spans="2:22" ht="33.75">
      <c r="B253" s="106"/>
      <c r="C253" s="477"/>
      <c r="D253" s="106" t="s">
        <v>496</v>
      </c>
      <c r="E253" s="109" t="s">
        <v>14</v>
      </c>
      <c r="F253" s="1587"/>
      <c r="G253" s="1111">
        <v>41421000</v>
      </c>
      <c r="H253" s="109" t="s">
        <v>677</v>
      </c>
      <c r="I253" s="109" t="s">
        <v>677</v>
      </c>
      <c r="J253" s="109" t="s">
        <v>677</v>
      </c>
      <c r="K253" s="109" t="s">
        <v>677</v>
      </c>
      <c r="L253" s="109" t="s">
        <v>554</v>
      </c>
      <c r="M253" s="1112">
        <f t="shared" si="4"/>
        <v>3451750</v>
      </c>
      <c r="N253" s="1102" t="s">
        <v>2224</v>
      </c>
      <c r="O253" s="1108" t="s">
        <v>1257</v>
      </c>
      <c r="P253" s="1585"/>
      <c r="Q253" s="1108" t="s">
        <v>1257</v>
      </c>
      <c r="R253" s="1585"/>
      <c r="S253" s="1108" t="s">
        <v>1257</v>
      </c>
      <c r="T253" s="1585"/>
      <c r="U253" s="1108" t="s">
        <v>1257</v>
      </c>
      <c r="V253" s="1585"/>
    </row>
    <row r="254" spans="2:22" ht="33.75">
      <c r="B254" s="106"/>
      <c r="C254" s="477"/>
      <c r="D254" s="106" t="s">
        <v>787</v>
      </c>
      <c r="E254" s="109" t="s">
        <v>14</v>
      </c>
      <c r="F254" s="1587"/>
      <c r="G254" s="1111">
        <v>41421000</v>
      </c>
      <c r="H254" s="109" t="s">
        <v>677</v>
      </c>
      <c r="I254" s="109" t="s">
        <v>677</v>
      </c>
      <c r="J254" s="109" t="s">
        <v>677</v>
      </c>
      <c r="K254" s="109" t="s">
        <v>677</v>
      </c>
      <c r="L254" s="109" t="s">
        <v>554</v>
      </c>
      <c r="M254" s="1112">
        <f t="shared" si="4"/>
        <v>3451750</v>
      </c>
      <c r="N254" s="1102" t="s">
        <v>2224</v>
      </c>
      <c r="O254" s="1108" t="s">
        <v>1257</v>
      </c>
      <c r="P254" s="1585"/>
      <c r="Q254" s="1108" t="s">
        <v>1257</v>
      </c>
      <c r="R254" s="1585"/>
      <c r="S254" s="1108" t="s">
        <v>1257</v>
      </c>
      <c r="T254" s="1585"/>
      <c r="U254" s="1108" t="s">
        <v>1257</v>
      </c>
      <c r="V254" s="1585"/>
    </row>
    <row r="255" spans="2:22" ht="33.75">
      <c r="B255" s="106"/>
      <c r="C255" s="477"/>
      <c r="D255" s="106" t="s">
        <v>0</v>
      </c>
      <c r="E255" s="109" t="s">
        <v>14</v>
      </c>
      <c r="F255" s="1587"/>
      <c r="G255" s="1111">
        <v>35408000</v>
      </c>
      <c r="H255" s="109" t="s">
        <v>677</v>
      </c>
      <c r="I255" s="109" t="s">
        <v>677</v>
      </c>
      <c r="J255" s="109" t="s">
        <v>677</v>
      </c>
      <c r="K255" s="109" t="s">
        <v>677</v>
      </c>
      <c r="L255" s="109" t="s">
        <v>554</v>
      </c>
      <c r="M255" s="1112">
        <f t="shared" si="4"/>
        <v>2950666.6666666665</v>
      </c>
      <c r="N255" s="1102" t="s">
        <v>2224</v>
      </c>
      <c r="O255" s="1108" t="s">
        <v>1257</v>
      </c>
      <c r="P255" s="1586"/>
      <c r="Q255" s="1108" t="s">
        <v>1257</v>
      </c>
      <c r="R255" s="1586"/>
      <c r="S255" s="1108" t="s">
        <v>1257</v>
      </c>
      <c r="T255" s="1586"/>
      <c r="U255" s="1108" t="s">
        <v>1257</v>
      </c>
      <c r="V255" s="1586"/>
    </row>
    <row r="256" spans="2:22" ht="33.75" customHeight="1" thickBot="1">
      <c r="B256" s="106"/>
      <c r="C256" s="477"/>
      <c r="D256" s="106" t="s">
        <v>0</v>
      </c>
      <c r="E256" s="109" t="s">
        <v>14</v>
      </c>
      <c r="F256" s="1587" t="s">
        <v>2228</v>
      </c>
      <c r="G256" s="1111">
        <v>62000000</v>
      </c>
      <c r="H256" s="109" t="s">
        <v>4</v>
      </c>
      <c r="I256" s="109" t="s">
        <v>6</v>
      </c>
      <c r="J256" s="109" t="s">
        <v>677</v>
      </c>
      <c r="K256" s="109" t="s">
        <v>677</v>
      </c>
      <c r="L256" s="109" t="s">
        <v>69</v>
      </c>
      <c r="M256" s="1112">
        <f>G256</f>
        <v>62000000</v>
      </c>
      <c r="O256" s="1108" t="s">
        <v>1363</v>
      </c>
      <c r="P256" s="1109" t="s">
        <v>2229</v>
      </c>
      <c r="Q256" s="1110" t="s">
        <v>1257</v>
      </c>
      <c r="R256" s="525" t="s">
        <v>2225</v>
      </c>
      <c r="S256" s="1108" t="s">
        <v>1257</v>
      </c>
      <c r="T256" s="1109" t="s">
        <v>2230</v>
      </c>
      <c r="U256" s="1108" t="s">
        <v>1257</v>
      </c>
      <c r="V256" s="1179" t="s">
        <v>2231</v>
      </c>
    </row>
    <row r="257" spans="2:22" ht="25.5" customHeight="1" thickTop="1">
      <c r="B257" s="106"/>
      <c r="C257" s="477"/>
      <c r="D257" s="106" t="s">
        <v>274</v>
      </c>
      <c r="E257" s="109" t="s">
        <v>14</v>
      </c>
      <c r="F257" s="1587"/>
      <c r="G257" s="1111">
        <v>2000000</v>
      </c>
      <c r="H257" s="109"/>
      <c r="I257" s="109"/>
      <c r="J257" s="109"/>
      <c r="K257" s="109"/>
      <c r="L257" s="109"/>
      <c r="M257" s="1112"/>
      <c r="N257" s="1102" t="s">
        <v>2232</v>
      </c>
      <c r="O257" s="1108"/>
      <c r="P257" s="1109"/>
      <c r="Q257" s="1110"/>
      <c r="R257" s="525"/>
      <c r="S257" s="1108"/>
      <c r="T257" s="1109"/>
      <c r="U257" s="1108"/>
      <c r="V257" s="1109"/>
    </row>
    <row r="258" spans="2:22" s="1146" customFormat="1" ht="34.5" thickBot="1">
      <c r="B258" s="1147"/>
      <c r="C258" s="1148"/>
      <c r="D258" s="1147" t="s">
        <v>0</v>
      </c>
      <c r="E258" s="1137" t="s">
        <v>14</v>
      </c>
      <c r="F258" s="1160" t="s">
        <v>2233</v>
      </c>
      <c r="G258" s="1180">
        <f>188448000-700000+200000000</f>
        <v>387748000</v>
      </c>
      <c r="H258" s="1137" t="s">
        <v>4</v>
      </c>
      <c r="I258" s="1137" t="s">
        <v>6</v>
      </c>
      <c r="J258" s="1137" t="s">
        <v>677</v>
      </c>
      <c r="K258" s="1137" t="s">
        <v>677</v>
      </c>
      <c r="L258" s="1137" t="s">
        <v>69</v>
      </c>
      <c r="M258" s="1161">
        <f>G258</f>
        <v>387748000</v>
      </c>
      <c r="N258" s="1139"/>
      <c r="O258" s="1140" t="s">
        <v>1363</v>
      </c>
      <c r="P258" s="1181" t="s">
        <v>2229</v>
      </c>
      <c r="Q258" s="1158" t="s">
        <v>1363</v>
      </c>
      <c r="R258" s="1139" t="s">
        <v>2234</v>
      </c>
      <c r="S258" s="1140" t="s">
        <v>2235</v>
      </c>
      <c r="T258" s="1181" t="s">
        <v>2225</v>
      </c>
      <c r="U258" s="1140" t="s">
        <v>2235</v>
      </c>
      <c r="V258" s="1179" t="s">
        <v>2236</v>
      </c>
    </row>
    <row r="259" spans="2:22" ht="12" thickTop="1">
      <c r="B259" s="1151"/>
      <c r="C259" s="1152"/>
      <c r="D259" s="1151" t="s">
        <v>269</v>
      </c>
      <c r="E259" s="1142" t="s">
        <v>14</v>
      </c>
      <c r="F259" s="1533" t="s">
        <v>2237</v>
      </c>
      <c r="G259" s="1141">
        <v>30000000</v>
      </c>
      <c r="H259" s="1142"/>
      <c r="I259" s="1142"/>
      <c r="J259" s="1142"/>
      <c r="K259" s="1142"/>
      <c r="L259" s="1142"/>
      <c r="M259" s="1164"/>
      <c r="N259" s="1144" t="s">
        <v>2232</v>
      </c>
      <c r="O259" s="1145"/>
      <c r="P259" s="1182"/>
      <c r="Q259" s="1155"/>
      <c r="R259" s="1183"/>
      <c r="S259" s="1155"/>
      <c r="T259" s="1182"/>
      <c r="U259" s="1155"/>
      <c r="V259" s="1182"/>
    </row>
    <row r="260" spans="2:22">
      <c r="B260" s="106"/>
      <c r="C260" s="477"/>
      <c r="D260" s="106" t="s">
        <v>274</v>
      </c>
      <c r="E260" s="109" t="s">
        <v>14</v>
      </c>
      <c r="F260" s="1534"/>
      <c r="G260" s="1111">
        <v>10000000</v>
      </c>
      <c r="H260" s="109"/>
      <c r="I260" s="109"/>
      <c r="J260" s="109"/>
      <c r="K260" s="109"/>
      <c r="L260" s="109"/>
      <c r="M260" s="1112"/>
      <c r="N260" s="1102" t="s">
        <v>2232</v>
      </c>
      <c r="O260" s="1108"/>
      <c r="P260" s="1109"/>
      <c r="Q260" s="1110"/>
      <c r="R260" s="525"/>
      <c r="S260" s="1110"/>
      <c r="T260" s="1109"/>
      <c r="U260" s="1110"/>
      <c r="V260" s="1109"/>
    </row>
    <row r="261" spans="2:22">
      <c r="B261" s="106"/>
      <c r="C261" s="477"/>
      <c r="D261" s="106" t="s">
        <v>265</v>
      </c>
      <c r="E261" s="109" t="s">
        <v>14</v>
      </c>
      <c r="F261" s="1534"/>
      <c r="G261" s="1111">
        <v>30000000</v>
      </c>
      <c r="H261" s="109"/>
      <c r="I261" s="109"/>
      <c r="J261" s="109"/>
      <c r="K261" s="109"/>
      <c r="L261" s="109"/>
      <c r="M261" s="1112"/>
      <c r="N261" s="1102" t="s">
        <v>2232</v>
      </c>
      <c r="O261" s="1108"/>
      <c r="P261" s="1109"/>
      <c r="Q261" s="1110"/>
      <c r="R261" s="525"/>
      <c r="S261" s="1110"/>
      <c r="T261" s="1109"/>
      <c r="U261" s="1110"/>
      <c r="V261" s="1109"/>
    </row>
    <row r="262" spans="2:22">
      <c r="B262" s="106"/>
      <c r="C262" s="477"/>
      <c r="D262" s="106" t="s">
        <v>266</v>
      </c>
      <c r="E262" s="109" t="s">
        <v>14</v>
      </c>
      <c r="F262" s="1534"/>
      <c r="G262" s="1111">
        <v>5500000</v>
      </c>
      <c r="H262" s="109"/>
      <c r="I262" s="109"/>
      <c r="J262" s="109"/>
      <c r="K262" s="109"/>
      <c r="L262" s="109"/>
      <c r="M262" s="1112"/>
      <c r="N262" s="1102" t="s">
        <v>2232</v>
      </c>
      <c r="O262" s="1108"/>
      <c r="P262" s="1109"/>
      <c r="Q262" s="1110"/>
      <c r="R262" s="525"/>
      <c r="S262" s="1110"/>
      <c r="T262" s="1109"/>
      <c r="U262" s="1110"/>
      <c r="V262" s="1109"/>
    </row>
    <row r="263" spans="2:22">
      <c r="B263" s="106"/>
      <c r="C263" s="477"/>
      <c r="D263" s="106" t="s">
        <v>174</v>
      </c>
      <c r="E263" s="109" t="s">
        <v>14</v>
      </c>
      <c r="F263" s="1535"/>
      <c r="G263" s="1111">
        <v>12000000</v>
      </c>
      <c r="H263" s="109"/>
      <c r="I263" s="109"/>
      <c r="J263" s="109"/>
      <c r="K263" s="109"/>
      <c r="L263" s="109"/>
      <c r="M263" s="1112"/>
      <c r="N263" s="1102" t="s">
        <v>2232</v>
      </c>
      <c r="O263" s="1108"/>
      <c r="P263" s="1109"/>
      <c r="Q263" s="1110"/>
      <c r="R263" s="525"/>
      <c r="S263" s="1110"/>
      <c r="T263" s="1109"/>
      <c r="U263" s="1110"/>
      <c r="V263" s="1109"/>
    </row>
    <row r="264" spans="2:22">
      <c r="B264" s="106"/>
      <c r="C264" s="477"/>
      <c r="D264" s="106" t="s">
        <v>269</v>
      </c>
      <c r="E264" s="109" t="s">
        <v>14</v>
      </c>
      <c r="F264" s="1533" t="s">
        <v>2238</v>
      </c>
      <c r="G264" s="1111">
        <v>11000000</v>
      </c>
      <c r="H264" s="109"/>
      <c r="I264" s="109"/>
      <c r="J264" s="109"/>
      <c r="K264" s="109"/>
      <c r="L264" s="109"/>
      <c r="M264" s="1112"/>
      <c r="N264" s="1102" t="s">
        <v>2232</v>
      </c>
      <c r="O264" s="1108"/>
      <c r="P264" s="1109"/>
      <c r="Q264" s="1110"/>
      <c r="R264" s="525"/>
      <c r="S264" s="1110"/>
      <c r="T264" s="1109"/>
      <c r="U264" s="1110"/>
      <c r="V264" s="1109"/>
    </row>
    <row r="265" spans="2:22">
      <c r="B265" s="106"/>
      <c r="C265" s="477"/>
      <c r="D265" s="106" t="s">
        <v>274</v>
      </c>
      <c r="E265" s="109" t="s">
        <v>14</v>
      </c>
      <c r="F265" s="1534"/>
      <c r="G265" s="1111">
        <v>4000000</v>
      </c>
      <c r="H265" s="109"/>
      <c r="I265" s="109"/>
      <c r="J265" s="109"/>
      <c r="K265" s="109"/>
      <c r="L265" s="109"/>
      <c r="M265" s="1112"/>
      <c r="N265" s="1102" t="s">
        <v>2232</v>
      </c>
      <c r="O265" s="1108"/>
      <c r="P265" s="1109"/>
      <c r="Q265" s="1110"/>
      <c r="R265" s="525"/>
      <c r="S265" s="1110"/>
      <c r="T265" s="1109"/>
      <c r="U265" s="1110"/>
      <c r="V265" s="1109"/>
    </row>
    <row r="266" spans="2:22">
      <c r="B266" s="106"/>
      <c r="C266" s="477"/>
      <c r="D266" s="106" t="s">
        <v>265</v>
      </c>
      <c r="E266" s="109" t="s">
        <v>14</v>
      </c>
      <c r="F266" s="1534"/>
      <c r="G266" s="1111">
        <v>20000000</v>
      </c>
      <c r="H266" s="109"/>
      <c r="I266" s="109"/>
      <c r="J266" s="109"/>
      <c r="K266" s="109"/>
      <c r="L266" s="109"/>
      <c r="M266" s="1112"/>
      <c r="N266" s="1102" t="s">
        <v>2232</v>
      </c>
      <c r="O266" s="1108"/>
      <c r="P266" s="1109"/>
      <c r="Q266" s="1110"/>
      <c r="R266" s="525"/>
      <c r="S266" s="1110"/>
      <c r="T266" s="1109"/>
      <c r="U266" s="1110"/>
      <c r="V266" s="1109"/>
    </row>
    <row r="267" spans="2:22">
      <c r="B267" s="106"/>
      <c r="C267" s="477"/>
      <c r="D267" s="106" t="s">
        <v>266</v>
      </c>
      <c r="E267" s="109" t="s">
        <v>14</v>
      </c>
      <c r="F267" s="1534"/>
      <c r="G267" s="1111">
        <v>3900000</v>
      </c>
      <c r="H267" s="109"/>
      <c r="I267" s="109"/>
      <c r="J267" s="109"/>
      <c r="K267" s="109"/>
      <c r="L267" s="109"/>
      <c r="M267" s="1112"/>
      <c r="N267" s="1102" t="s">
        <v>2232</v>
      </c>
      <c r="O267" s="1108"/>
      <c r="P267" s="1109"/>
      <c r="Q267" s="1110"/>
      <c r="R267" s="525"/>
      <c r="S267" s="1110"/>
      <c r="T267" s="1109"/>
      <c r="U267" s="1110"/>
      <c r="V267" s="1109"/>
    </row>
    <row r="268" spans="2:22">
      <c r="B268" s="106"/>
      <c r="C268" s="477"/>
      <c r="D268" s="106" t="s">
        <v>174</v>
      </c>
      <c r="E268" s="109" t="s">
        <v>14</v>
      </c>
      <c r="F268" s="1535"/>
      <c r="G268" s="1111">
        <v>9000000</v>
      </c>
      <c r="H268" s="109"/>
      <c r="I268" s="109"/>
      <c r="J268" s="109"/>
      <c r="K268" s="109"/>
      <c r="L268" s="109"/>
      <c r="M268" s="1112"/>
      <c r="N268" s="1102" t="s">
        <v>2232</v>
      </c>
      <c r="O268" s="1108"/>
      <c r="P268" s="1109"/>
      <c r="Q268" s="1110"/>
      <c r="R268" s="525"/>
      <c r="S268" s="1110"/>
      <c r="T268" s="1109"/>
      <c r="U268" s="1110"/>
      <c r="V268" s="1109"/>
    </row>
    <row r="269" spans="2:22">
      <c r="B269" s="106"/>
      <c r="C269" s="477"/>
      <c r="D269" s="106" t="s">
        <v>269</v>
      </c>
      <c r="E269" s="109" t="s">
        <v>14</v>
      </c>
      <c r="F269" s="1533" t="s">
        <v>2239</v>
      </c>
      <c r="G269" s="1111">
        <v>35000000</v>
      </c>
      <c r="H269" s="109"/>
      <c r="I269" s="109"/>
      <c r="J269" s="109"/>
      <c r="K269" s="109"/>
      <c r="L269" s="109"/>
      <c r="M269" s="1112"/>
      <c r="N269" s="1102" t="s">
        <v>2232</v>
      </c>
      <c r="O269" s="1108"/>
      <c r="P269" s="1109"/>
      <c r="Q269" s="1110"/>
      <c r="R269" s="525"/>
      <c r="S269" s="1110"/>
      <c r="T269" s="1109"/>
      <c r="U269" s="1110"/>
      <c r="V269" s="1109"/>
    </row>
    <row r="270" spans="2:22">
      <c r="B270" s="106"/>
      <c r="C270" s="477"/>
      <c r="D270" s="106" t="s">
        <v>274</v>
      </c>
      <c r="E270" s="109" t="s">
        <v>14</v>
      </c>
      <c r="F270" s="1534"/>
      <c r="G270" s="1111">
        <v>4000000</v>
      </c>
      <c r="H270" s="109"/>
      <c r="I270" s="109"/>
      <c r="J270" s="109"/>
      <c r="K270" s="109"/>
      <c r="L270" s="109"/>
      <c r="M270" s="1112"/>
      <c r="N270" s="1102" t="s">
        <v>2232</v>
      </c>
      <c r="O270" s="1108"/>
      <c r="P270" s="1109"/>
      <c r="Q270" s="1110"/>
      <c r="R270" s="525"/>
      <c r="S270" s="1110"/>
      <c r="T270" s="1109"/>
      <c r="U270" s="1110"/>
      <c r="V270" s="1109"/>
    </row>
    <row r="271" spans="2:22">
      <c r="B271" s="106"/>
      <c r="C271" s="477"/>
      <c r="D271" s="106" t="s">
        <v>265</v>
      </c>
      <c r="E271" s="109" t="s">
        <v>14</v>
      </c>
      <c r="F271" s="1534"/>
      <c r="G271" s="1111">
        <v>20000000</v>
      </c>
      <c r="H271" s="109"/>
      <c r="I271" s="109"/>
      <c r="J271" s="109"/>
      <c r="K271" s="109"/>
      <c r="L271" s="109"/>
      <c r="M271" s="1112"/>
      <c r="N271" s="1102" t="s">
        <v>2232</v>
      </c>
      <c r="O271" s="1108"/>
      <c r="P271" s="1109"/>
      <c r="Q271" s="1110"/>
      <c r="R271" s="525"/>
      <c r="S271" s="1110"/>
      <c r="T271" s="1109"/>
      <c r="U271" s="1110"/>
      <c r="V271" s="1109"/>
    </row>
    <row r="272" spans="2:22">
      <c r="B272" s="106"/>
      <c r="C272" s="477"/>
      <c r="D272" s="106" t="s">
        <v>266</v>
      </c>
      <c r="E272" s="109" t="s">
        <v>14</v>
      </c>
      <c r="F272" s="1534"/>
      <c r="G272" s="1111">
        <v>6300000</v>
      </c>
      <c r="H272" s="109"/>
      <c r="I272" s="109"/>
      <c r="J272" s="109"/>
      <c r="K272" s="109"/>
      <c r="L272" s="109"/>
      <c r="M272" s="1112"/>
      <c r="N272" s="1102" t="s">
        <v>2232</v>
      </c>
      <c r="O272" s="1108"/>
      <c r="P272" s="1109"/>
      <c r="Q272" s="1110"/>
      <c r="R272" s="525"/>
      <c r="S272" s="1110"/>
      <c r="T272" s="1109"/>
      <c r="U272" s="1110"/>
      <c r="V272" s="1109"/>
    </row>
    <row r="273" spans="2:22">
      <c r="B273" s="106"/>
      <c r="C273" s="477"/>
      <c r="D273" s="106" t="s">
        <v>174</v>
      </c>
      <c r="E273" s="109" t="s">
        <v>14</v>
      </c>
      <c r="F273" s="1535"/>
      <c r="G273" s="1111">
        <v>9000000</v>
      </c>
      <c r="H273" s="109"/>
      <c r="I273" s="109"/>
      <c r="J273" s="109"/>
      <c r="K273" s="109"/>
      <c r="L273" s="109"/>
      <c r="M273" s="1112"/>
      <c r="N273" s="1102" t="s">
        <v>2232</v>
      </c>
      <c r="O273" s="1108"/>
      <c r="P273" s="1109"/>
      <c r="Q273" s="1110"/>
      <c r="R273" s="525"/>
      <c r="S273" s="1110"/>
      <c r="T273" s="1109"/>
      <c r="U273" s="1110"/>
      <c r="V273" s="1109"/>
    </row>
    <row r="274" spans="2:22">
      <c r="B274" s="106"/>
      <c r="C274" s="477"/>
      <c r="D274" s="106"/>
      <c r="E274" s="109"/>
      <c r="F274" s="476"/>
      <c r="G274" s="1111"/>
      <c r="H274" s="109"/>
      <c r="I274" s="109"/>
      <c r="J274" s="109"/>
      <c r="K274" s="109"/>
      <c r="L274" s="109"/>
      <c r="M274" s="1112"/>
      <c r="O274" s="1108"/>
      <c r="P274" s="1109"/>
      <c r="Q274" s="1110"/>
      <c r="R274" s="525"/>
      <c r="S274" s="1110"/>
      <c r="T274" s="1109"/>
      <c r="U274" s="1110"/>
      <c r="V274" s="1109"/>
    </row>
    <row r="275" spans="2:22">
      <c r="B275" s="106"/>
      <c r="C275" s="477"/>
      <c r="D275" s="106"/>
      <c r="E275" s="109"/>
      <c r="F275" s="476"/>
      <c r="G275" s="1111"/>
      <c r="H275" s="109"/>
      <c r="I275" s="109"/>
      <c r="J275" s="109"/>
      <c r="K275" s="109"/>
      <c r="L275" s="109"/>
      <c r="M275" s="1112"/>
      <c r="O275" s="1108"/>
      <c r="P275" s="1109"/>
      <c r="Q275" s="1110"/>
      <c r="R275" s="525"/>
      <c r="S275" s="1110"/>
      <c r="T275" s="1109"/>
      <c r="U275" s="1110"/>
      <c r="V275" s="1109"/>
    </row>
    <row r="276" spans="2:22">
      <c r="B276" s="106"/>
      <c r="C276" s="477"/>
      <c r="D276" s="106"/>
      <c r="E276" s="109"/>
      <c r="F276" s="476"/>
      <c r="G276" s="1111"/>
      <c r="H276" s="109"/>
      <c r="I276" s="109"/>
      <c r="J276" s="109"/>
      <c r="K276" s="109"/>
      <c r="L276" s="109"/>
      <c r="M276" s="1112"/>
      <c r="O276" s="1108"/>
      <c r="P276" s="1109"/>
      <c r="Q276" s="1110"/>
      <c r="R276" s="525"/>
      <c r="S276" s="1110"/>
      <c r="T276" s="1109"/>
      <c r="U276" s="1110"/>
      <c r="V276" s="1109"/>
    </row>
    <row r="277" spans="2:22">
      <c r="B277" s="106"/>
      <c r="C277" s="477"/>
      <c r="D277" s="106"/>
      <c r="E277" s="109"/>
      <c r="F277" s="476"/>
      <c r="G277" s="1111"/>
      <c r="H277" s="109"/>
      <c r="I277" s="109"/>
      <c r="J277" s="109"/>
      <c r="K277" s="109"/>
      <c r="L277" s="109"/>
      <c r="M277" s="1112"/>
      <c r="O277" s="1108"/>
      <c r="P277" s="1109"/>
      <c r="Q277" s="1110"/>
      <c r="R277" s="525"/>
      <c r="S277" s="1110"/>
      <c r="T277" s="1109"/>
      <c r="U277" s="1110"/>
      <c r="V277" s="1109"/>
    </row>
    <row r="278" spans="2:22">
      <c r="B278" s="106"/>
      <c r="C278" s="477"/>
      <c r="D278" s="106"/>
      <c r="E278" s="109"/>
      <c r="F278" s="476"/>
      <c r="G278" s="1111"/>
      <c r="H278" s="109"/>
      <c r="I278" s="109"/>
      <c r="J278" s="109"/>
      <c r="K278" s="109"/>
      <c r="L278" s="109"/>
      <c r="M278" s="1112"/>
      <c r="O278" s="1108"/>
      <c r="P278" s="1109"/>
      <c r="Q278" s="1110"/>
      <c r="R278" s="525"/>
      <c r="S278" s="1110"/>
      <c r="T278" s="1109"/>
      <c r="U278" s="1110"/>
      <c r="V278" s="1109"/>
    </row>
    <row r="279" spans="2:22">
      <c r="B279" s="106"/>
      <c r="C279" s="477"/>
      <c r="D279" s="106"/>
      <c r="E279" s="109"/>
      <c r="F279" s="476"/>
      <c r="G279" s="1111"/>
      <c r="H279" s="109"/>
      <c r="I279" s="109"/>
      <c r="J279" s="109"/>
      <c r="K279" s="109"/>
      <c r="L279" s="109"/>
      <c r="M279" s="1112"/>
      <c r="O279" s="1108"/>
      <c r="P279" s="1109"/>
      <c r="Q279" s="1110"/>
      <c r="R279" s="525"/>
      <c r="S279" s="1110"/>
      <c r="T279" s="1109"/>
      <c r="U279" s="1110"/>
      <c r="V279" s="1109"/>
    </row>
    <row r="280" spans="2:22">
      <c r="B280" s="106"/>
      <c r="C280" s="477"/>
      <c r="D280" s="106"/>
      <c r="E280" s="109"/>
      <c r="F280" s="476"/>
      <c r="G280" s="1111"/>
      <c r="H280" s="109"/>
      <c r="I280" s="109"/>
      <c r="J280" s="109"/>
      <c r="K280" s="109"/>
      <c r="L280" s="109"/>
      <c r="M280" s="1112"/>
      <c r="O280" s="1108"/>
      <c r="P280" s="1109"/>
      <c r="Q280" s="1110"/>
      <c r="R280" s="525"/>
      <c r="S280" s="1110"/>
      <c r="T280" s="1109"/>
      <c r="U280" s="1110"/>
      <c r="V280" s="1109"/>
    </row>
    <row r="281" spans="2:22">
      <c r="B281" s="106"/>
      <c r="C281" s="477"/>
      <c r="D281" s="106"/>
      <c r="E281" s="109"/>
      <c r="F281" s="476"/>
      <c r="G281" s="1111"/>
      <c r="H281" s="109"/>
      <c r="I281" s="109"/>
      <c r="J281" s="109"/>
      <c r="K281" s="109"/>
      <c r="L281" s="109"/>
      <c r="M281" s="1112"/>
      <c r="O281" s="1108"/>
      <c r="P281" s="1109"/>
      <c r="Q281" s="1110"/>
      <c r="R281" s="525"/>
      <c r="S281" s="1110"/>
      <c r="T281" s="1109"/>
      <c r="U281" s="1110"/>
      <c r="V281" s="1109"/>
    </row>
    <row r="282" spans="2:22">
      <c r="B282" s="106"/>
      <c r="C282" s="477"/>
      <c r="D282" s="106"/>
      <c r="E282" s="109"/>
      <c r="F282" s="476"/>
      <c r="G282" s="1111"/>
      <c r="H282" s="109"/>
      <c r="I282" s="109"/>
      <c r="J282" s="109"/>
      <c r="K282" s="109"/>
      <c r="L282" s="109"/>
      <c r="M282" s="1112"/>
      <c r="O282" s="1108"/>
      <c r="P282" s="1109"/>
      <c r="Q282" s="1110"/>
      <c r="R282" s="525"/>
      <c r="S282" s="1110"/>
      <c r="T282" s="1109"/>
      <c r="U282" s="1110"/>
      <c r="V282" s="1109"/>
    </row>
    <row r="283" spans="2:22">
      <c r="B283" s="106"/>
      <c r="C283" s="477"/>
      <c r="D283" s="106"/>
      <c r="E283" s="109"/>
      <c r="F283" s="476"/>
      <c r="G283" s="1111"/>
      <c r="H283" s="109"/>
      <c r="I283" s="109"/>
      <c r="J283" s="109"/>
      <c r="K283" s="109"/>
      <c r="L283" s="109"/>
      <c r="M283" s="1112"/>
      <c r="O283" s="1108"/>
      <c r="P283" s="1109"/>
      <c r="Q283" s="1110"/>
      <c r="R283" s="525"/>
      <c r="S283" s="1110"/>
      <c r="T283" s="1109"/>
      <c r="U283" s="1110"/>
      <c r="V283" s="1109"/>
    </row>
    <row r="284" spans="2:22">
      <c r="B284" s="106"/>
      <c r="C284" s="477"/>
      <c r="D284" s="106"/>
      <c r="E284" s="109"/>
      <c r="F284" s="476"/>
      <c r="G284" s="1111"/>
      <c r="H284" s="109"/>
      <c r="I284" s="109"/>
      <c r="J284" s="109"/>
      <c r="K284" s="109"/>
      <c r="L284" s="109"/>
      <c r="M284" s="1112"/>
      <c r="O284" s="1108"/>
      <c r="P284" s="1109"/>
      <c r="Q284" s="1110"/>
      <c r="R284" s="525"/>
      <c r="S284" s="1110"/>
      <c r="T284" s="1109"/>
      <c r="U284" s="1110"/>
      <c r="V284" s="1109"/>
    </row>
    <row r="285" spans="2:22">
      <c r="B285" s="106"/>
      <c r="C285" s="477"/>
      <c r="D285" s="106"/>
      <c r="E285" s="109"/>
      <c r="F285" s="476"/>
      <c r="G285" s="1111"/>
      <c r="H285" s="109"/>
      <c r="I285" s="109"/>
      <c r="J285" s="109"/>
      <c r="K285" s="109"/>
      <c r="L285" s="109"/>
      <c r="M285" s="1112"/>
      <c r="O285" s="1108"/>
      <c r="P285" s="1109"/>
      <c r="Q285" s="1110"/>
      <c r="R285" s="525"/>
      <c r="S285" s="1110"/>
      <c r="T285" s="1109"/>
      <c r="U285" s="1110"/>
      <c r="V285" s="1109"/>
    </row>
    <row r="286" spans="2:22">
      <c r="B286" s="106"/>
      <c r="C286" s="477"/>
      <c r="D286" s="106"/>
      <c r="E286" s="109"/>
      <c r="F286" s="476"/>
      <c r="G286" s="1111"/>
      <c r="H286" s="109"/>
      <c r="I286" s="109"/>
      <c r="J286" s="109"/>
      <c r="K286" s="109"/>
      <c r="L286" s="109"/>
      <c r="M286" s="1112"/>
      <c r="O286" s="1108"/>
      <c r="P286" s="1109"/>
      <c r="Q286" s="1110"/>
      <c r="R286" s="525"/>
      <c r="S286" s="1110"/>
      <c r="T286" s="1109"/>
      <c r="U286" s="1110"/>
      <c r="V286" s="1109"/>
    </row>
    <row r="287" spans="2:22">
      <c r="B287" s="106"/>
      <c r="C287" s="477"/>
      <c r="D287" s="106"/>
      <c r="E287" s="109"/>
      <c r="F287" s="476"/>
      <c r="G287" s="1111"/>
      <c r="H287" s="109"/>
      <c r="I287" s="109"/>
      <c r="J287" s="109"/>
      <c r="K287" s="109"/>
      <c r="L287" s="109"/>
      <c r="M287" s="1112"/>
      <c r="O287" s="1108"/>
      <c r="P287" s="1109"/>
      <c r="Q287" s="1110"/>
      <c r="R287" s="525"/>
      <c r="S287" s="1110"/>
      <c r="T287" s="1109"/>
      <c r="U287" s="1110"/>
      <c r="V287" s="1109"/>
    </row>
    <row r="288" spans="2:22">
      <c r="B288" s="106"/>
      <c r="C288" s="477"/>
      <c r="D288" s="106"/>
      <c r="E288" s="109"/>
      <c r="F288" s="476"/>
      <c r="G288" s="1111"/>
      <c r="H288" s="109"/>
      <c r="I288" s="109"/>
      <c r="J288" s="109"/>
      <c r="K288" s="109"/>
      <c r="L288" s="109"/>
      <c r="M288" s="1112"/>
      <c r="O288" s="1108"/>
      <c r="P288" s="1109"/>
      <c r="Q288" s="1110"/>
      <c r="R288" s="525"/>
      <c r="S288" s="1110"/>
      <c r="T288" s="1109"/>
      <c r="U288" s="1110"/>
      <c r="V288" s="1109"/>
    </row>
    <row r="289" spans="2:22">
      <c r="B289" s="106"/>
      <c r="C289" s="477"/>
      <c r="D289" s="106"/>
      <c r="E289" s="109"/>
      <c r="F289" s="476"/>
      <c r="G289" s="1111"/>
      <c r="H289" s="109"/>
      <c r="I289" s="109"/>
      <c r="J289" s="109"/>
      <c r="K289" s="109"/>
      <c r="L289" s="109"/>
      <c r="M289" s="1112"/>
      <c r="O289" s="1108"/>
      <c r="P289" s="1109"/>
      <c r="Q289" s="1110"/>
      <c r="R289" s="525"/>
      <c r="S289" s="1110"/>
      <c r="T289" s="1109"/>
      <c r="U289" s="1110"/>
      <c r="V289" s="1109"/>
    </row>
    <row r="290" spans="2:22">
      <c r="B290" s="106"/>
      <c r="C290" s="477"/>
      <c r="D290" s="106"/>
      <c r="E290" s="109"/>
      <c r="F290" s="476"/>
      <c r="G290" s="1111"/>
      <c r="H290" s="109"/>
      <c r="I290" s="109"/>
      <c r="J290" s="109"/>
      <c r="K290" s="109"/>
      <c r="L290" s="109"/>
      <c r="M290" s="1112"/>
      <c r="O290" s="1108"/>
      <c r="P290" s="1109"/>
      <c r="Q290" s="1110"/>
      <c r="R290" s="525"/>
      <c r="S290" s="1110"/>
      <c r="T290" s="1109"/>
      <c r="U290" s="1110"/>
      <c r="V290" s="1109"/>
    </row>
    <row r="291" spans="2:22">
      <c r="B291" s="106"/>
      <c r="C291" s="477"/>
      <c r="D291" s="106"/>
      <c r="E291" s="109"/>
      <c r="F291" s="476"/>
      <c r="G291" s="1111"/>
      <c r="H291" s="109"/>
      <c r="I291" s="109"/>
      <c r="J291" s="109"/>
      <c r="K291" s="109"/>
      <c r="L291" s="109"/>
      <c r="M291" s="1112"/>
      <c r="O291" s="1108"/>
      <c r="P291" s="1109"/>
      <c r="Q291" s="1184"/>
      <c r="R291" s="525"/>
      <c r="S291" s="1110"/>
      <c r="T291" s="1109"/>
      <c r="U291" s="1110"/>
      <c r="V291" s="1109"/>
    </row>
    <row r="292" spans="2:22">
      <c r="B292" s="106"/>
      <c r="C292" s="477"/>
      <c r="D292" s="106"/>
      <c r="E292" s="109"/>
      <c r="F292" s="476"/>
      <c r="G292" s="1111"/>
      <c r="H292" s="109"/>
      <c r="I292" s="109"/>
      <c r="J292" s="109"/>
      <c r="K292" s="109"/>
      <c r="L292" s="109"/>
      <c r="M292" s="1112"/>
      <c r="O292" s="1108"/>
      <c r="P292" s="1109"/>
      <c r="Q292" s="1184"/>
      <c r="R292" s="525"/>
      <c r="S292" s="1110"/>
      <c r="T292" s="1109"/>
      <c r="U292" s="1110"/>
      <c r="V292" s="1109"/>
    </row>
    <row r="293" spans="2:22">
      <c r="B293" s="106"/>
      <c r="C293" s="477"/>
      <c r="D293" s="106"/>
      <c r="E293" s="109"/>
      <c r="F293" s="476"/>
      <c r="G293" s="1111"/>
      <c r="H293" s="109"/>
      <c r="I293" s="109"/>
      <c r="J293" s="109"/>
      <c r="K293" s="109"/>
      <c r="L293" s="109"/>
      <c r="M293" s="1112"/>
      <c r="O293" s="1108"/>
      <c r="P293" s="1109"/>
      <c r="Q293" s="1184"/>
      <c r="R293" s="525"/>
      <c r="S293" s="1110"/>
      <c r="T293" s="1109"/>
      <c r="U293" s="1110"/>
      <c r="V293" s="1109"/>
    </row>
    <row r="294" spans="2:22">
      <c r="B294" s="106"/>
      <c r="C294" s="477"/>
      <c r="D294" s="106"/>
      <c r="E294" s="109"/>
      <c r="F294" s="476"/>
      <c r="G294" s="1111"/>
      <c r="H294" s="109"/>
      <c r="I294" s="109"/>
      <c r="J294" s="109"/>
      <c r="K294" s="109"/>
      <c r="L294" s="109"/>
      <c r="M294" s="1112"/>
      <c r="O294" s="1108"/>
      <c r="P294" s="1109"/>
      <c r="Q294" s="1184"/>
      <c r="R294" s="525"/>
      <c r="S294" s="1110"/>
      <c r="T294" s="1109"/>
      <c r="U294" s="1110"/>
      <c r="V294" s="1109"/>
    </row>
    <row r="295" spans="2:22">
      <c r="B295" s="106"/>
      <c r="C295" s="477"/>
      <c r="D295" s="106"/>
      <c r="E295" s="109"/>
      <c r="F295" s="476"/>
      <c r="G295" s="1111"/>
      <c r="H295" s="109"/>
      <c r="I295" s="109"/>
      <c r="J295" s="109"/>
      <c r="K295" s="109"/>
      <c r="L295" s="109"/>
      <c r="M295" s="1112"/>
      <c r="O295" s="1108"/>
      <c r="P295" s="1109"/>
      <c r="Q295" s="1184"/>
      <c r="R295" s="525"/>
      <c r="S295" s="1110"/>
      <c r="T295" s="1109"/>
      <c r="U295" s="1110"/>
      <c r="V295" s="1109"/>
    </row>
    <row r="296" spans="2:22">
      <c r="B296" s="106"/>
      <c r="C296" s="477"/>
      <c r="D296" s="106"/>
      <c r="E296" s="109"/>
      <c r="F296" s="476"/>
      <c r="G296" s="1111"/>
      <c r="H296" s="109"/>
      <c r="I296" s="109"/>
      <c r="J296" s="109"/>
      <c r="K296" s="109"/>
      <c r="L296" s="109"/>
      <c r="M296" s="1112"/>
      <c r="O296" s="1108"/>
      <c r="P296" s="1109"/>
      <c r="Q296" s="1184"/>
      <c r="R296" s="525"/>
      <c r="S296" s="1110"/>
      <c r="T296" s="1109"/>
      <c r="U296" s="1110"/>
      <c r="V296" s="1109"/>
    </row>
    <row r="297" spans="2:22">
      <c r="B297" s="106"/>
      <c r="C297" s="477"/>
      <c r="D297" s="106"/>
      <c r="E297" s="109"/>
      <c r="F297" s="476"/>
      <c r="G297" s="1111"/>
      <c r="H297" s="109"/>
      <c r="I297" s="109"/>
      <c r="J297" s="109"/>
      <c r="K297" s="109"/>
      <c r="L297" s="109"/>
      <c r="M297" s="1112"/>
      <c r="O297" s="1108"/>
      <c r="P297" s="1109"/>
      <c r="Q297" s="1184"/>
      <c r="R297" s="525"/>
      <c r="S297" s="1110"/>
      <c r="T297" s="1109"/>
      <c r="U297" s="1110"/>
      <c r="V297" s="1109"/>
    </row>
    <row r="298" spans="2:22">
      <c r="B298" s="106"/>
      <c r="C298" s="477"/>
      <c r="D298" s="106"/>
      <c r="E298" s="109"/>
      <c r="F298" s="476"/>
      <c r="G298" s="1111"/>
      <c r="H298" s="109"/>
      <c r="I298" s="109"/>
      <c r="J298" s="109"/>
      <c r="K298" s="109"/>
      <c r="L298" s="109"/>
      <c r="M298" s="1112"/>
      <c r="O298" s="1108"/>
      <c r="P298" s="1109"/>
      <c r="Q298" s="1184"/>
      <c r="R298" s="525"/>
      <c r="S298" s="1110"/>
      <c r="T298" s="1109"/>
      <c r="U298" s="1110"/>
      <c r="V298" s="1109"/>
    </row>
    <row r="299" spans="2:22">
      <c r="B299" s="106"/>
      <c r="C299" s="477"/>
      <c r="D299" s="106"/>
      <c r="E299" s="109"/>
      <c r="F299" s="476"/>
      <c r="G299" s="1111"/>
      <c r="H299" s="109"/>
      <c r="I299" s="109"/>
      <c r="J299" s="109"/>
      <c r="K299" s="109"/>
      <c r="L299" s="109"/>
      <c r="M299" s="1112"/>
      <c r="O299" s="1108"/>
      <c r="P299" s="1109"/>
      <c r="Q299" s="1184"/>
      <c r="R299" s="525"/>
      <c r="S299" s="1110"/>
      <c r="T299" s="1109"/>
      <c r="U299" s="1110"/>
      <c r="V299" s="1109"/>
    </row>
    <row r="300" spans="2:22">
      <c r="B300" s="106"/>
      <c r="C300" s="477"/>
      <c r="D300" s="106"/>
      <c r="E300" s="109"/>
      <c r="F300" s="476"/>
      <c r="G300" s="1111"/>
      <c r="H300" s="109"/>
      <c r="I300" s="109"/>
      <c r="J300" s="109"/>
      <c r="K300" s="109"/>
      <c r="L300" s="109"/>
      <c r="M300" s="1112"/>
      <c r="O300" s="1108"/>
      <c r="P300" s="1109"/>
      <c r="Q300" s="1184"/>
      <c r="R300" s="525"/>
      <c r="S300" s="1110"/>
      <c r="T300" s="1109"/>
      <c r="U300" s="1110"/>
      <c r="V300" s="1109"/>
    </row>
    <row r="301" spans="2:22">
      <c r="B301" s="106"/>
      <c r="C301" s="477"/>
      <c r="D301" s="106"/>
      <c r="E301" s="109"/>
      <c r="F301" s="476"/>
      <c r="G301" s="1111"/>
      <c r="H301" s="109"/>
      <c r="I301" s="109"/>
      <c r="J301" s="109"/>
      <c r="K301" s="109"/>
      <c r="L301" s="109"/>
      <c r="M301" s="1112"/>
      <c r="O301" s="1108"/>
      <c r="P301" s="1109"/>
      <c r="Q301" s="1184"/>
      <c r="R301" s="525"/>
      <c r="S301" s="1110"/>
      <c r="T301" s="1109"/>
      <c r="U301" s="1110"/>
      <c r="V301" s="1109"/>
    </row>
    <row r="302" spans="2:22">
      <c r="B302" s="106"/>
      <c r="C302" s="477"/>
      <c r="D302" s="106"/>
      <c r="E302" s="109"/>
      <c r="F302" s="476"/>
      <c r="G302" s="1111"/>
      <c r="H302" s="109"/>
      <c r="I302" s="109"/>
      <c r="J302" s="109"/>
      <c r="K302" s="109"/>
      <c r="L302" s="109"/>
      <c r="M302" s="1112"/>
      <c r="O302" s="1108"/>
      <c r="P302" s="1109"/>
      <c r="Q302" s="1184"/>
      <c r="R302" s="525"/>
      <c r="S302" s="1110"/>
      <c r="T302" s="1109"/>
      <c r="U302" s="1110"/>
      <c r="V302" s="1109"/>
    </row>
    <row r="303" spans="2:22">
      <c r="B303" s="106"/>
      <c r="C303" s="477"/>
      <c r="D303" s="106"/>
      <c r="E303" s="109"/>
      <c r="F303" s="476"/>
      <c r="G303" s="1111"/>
      <c r="H303" s="109"/>
      <c r="I303" s="109"/>
      <c r="J303" s="109"/>
      <c r="K303" s="109"/>
      <c r="L303" s="109"/>
      <c r="M303" s="1112"/>
      <c r="O303" s="1108"/>
      <c r="P303" s="1109"/>
      <c r="Q303" s="1184"/>
      <c r="R303" s="525"/>
      <c r="S303" s="1110"/>
      <c r="T303" s="1109"/>
      <c r="U303" s="1110"/>
      <c r="V303" s="1109"/>
    </row>
    <row r="304" spans="2:22">
      <c r="B304" s="106"/>
      <c r="C304" s="477"/>
      <c r="D304" s="106"/>
      <c r="E304" s="109"/>
      <c r="F304" s="476"/>
      <c r="G304" s="1111"/>
      <c r="H304" s="109"/>
      <c r="I304" s="109"/>
      <c r="J304" s="109"/>
      <c r="K304" s="109"/>
      <c r="L304" s="109"/>
      <c r="M304" s="1112"/>
      <c r="O304" s="1108"/>
      <c r="P304" s="1109"/>
      <c r="Q304" s="1184"/>
      <c r="R304" s="525"/>
      <c r="S304" s="1110"/>
      <c r="T304" s="1109"/>
      <c r="U304" s="1110"/>
      <c r="V304" s="1109"/>
    </row>
    <row r="305" spans="2:22">
      <c r="B305" s="106"/>
      <c r="C305" s="477"/>
      <c r="D305" s="106"/>
      <c r="E305" s="109"/>
      <c r="F305" s="476"/>
      <c r="G305" s="1111"/>
      <c r="H305" s="109"/>
      <c r="I305" s="109"/>
      <c r="J305" s="109"/>
      <c r="K305" s="109"/>
      <c r="L305" s="109"/>
      <c r="M305" s="1112"/>
      <c r="O305" s="1108"/>
      <c r="P305" s="1109"/>
      <c r="Q305" s="1184"/>
      <c r="R305" s="525"/>
      <c r="S305" s="1110"/>
      <c r="T305" s="1109"/>
      <c r="U305" s="1110"/>
      <c r="V305" s="1109"/>
    </row>
    <row r="306" spans="2:22">
      <c r="B306" s="106"/>
      <c r="C306" s="477"/>
      <c r="D306" s="106"/>
      <c r="E306" s="109"/>
      <c r="F306" s="476"/>
      <c r="G306" s="1111"/>
      <c r="H306" s="109"/>
      <c r="I306" s="109"/>
      <c r="J306" s="109"/>
      <c r="K306" s="109"/>
      <c r="L306" s="109"/>
      <c r="M306" s="1112"/>
      <c r="O306" s="1108"/>
      <c r="P306" s="1109"/>
      <c r="Q306" s="1184"/>
      <c r="R306" s="525"/>
      <c r="S306" s="1110"/>
      <c r="T306" s="1109"/>
      <c r="U306" s="1110"/>
      <c r="V306" s="1109"/>
    </row>
    <row r="307" spans="2:22">
      <c r="B307" s="106"/>
      <c r="C307" s="477"/>
      <c r="D307" s="106"/>
      <c r="E307" s="109"/>
      <c r="F307" s="476"/>
      <c r="G307" s="1111"/>
      <c r="H307" s="109"/>
      <c r="I307" s="109"/>
      <c r="J307" s="109"/>
      <c r="K307" s="109"/>
      <c r="L307" s="109"/>
      <c r="M307" s="1112"/>
      <c r="O307" s="1108"/>
      <c r="P307" s="1109"/>
      <c r="Q307" s="1184"/>
      <c r="R307" s="525"/>
      <c r="S307" s="1110"/>
      <c r="T307" s="1109"/>
      <c r="U307" s="1110"/>
      <c r="V307" s="1109"/>
    </row>
    <row r="308" spans="2:22">
      <c r="B308" s="106"/>
      <c r="C308" s="477"/>
      <c r="D308" s="106"/>
      <c r="E308" s="109"/>
      <c r="F308" s="476"/>
      <c r="G308" s="1111"/>
      <c r="H308" s="109"/>
      <c r="I308" s="109"/>
      <c r="J308" s="109"/>
      <c r="K308" s="109"/>
      <c r="L308" s="109"/>
      <c r="M308" s="1112"/>
      <c r="O308" s="1108"/>
      <c r="P308" s="1109"/>
      <c r="Q308" s="1184"/>
      <c r="R308" s="525"/>
      <c r="S308" s="1110"/>
      <c r="T308" s="1109"/>
      <c r="U308" s="1110"/>
      <c r="V308" s="1109"/>
    </row>
    <row r="309" spans="2:22">
      <c r="B309" s="106"/>
      <c r="C309" s="477"/>
      <c r="D309" s="106"/>
      <c r="E309" s="109"/>
      <c r="F309" s="476"/>
      <c r="G309" s="1111"/>
      <c r="H309" s="109"/>
      <c r="I309" s="109"/>
      <c r="J309" s="109"/>
      <c r="K309" s="109"/>
      <c r="L309" s="109"/>
      <c r="M309" s="1112"/>
      <c r="O309" s="1108"/>
      <c r="P309" s="1109"/>
      <c r="Q309" s="1184"/>
      <c r="R309" s="525"/>
      <c r="S309" s="1110"/>
      <c r="T309" s="1109"/>
      <c r="U309" s="1110"/>
      <c r="V309" s="1109"/>
    </row>
    <row r="310" spans="2:22">
      <c r="B310" s="106"/>
      <c r="C310" s="477"/>
      <c r="D310" s="106"/>
      <c r="E310" s="109"/>
      <c r="F310" s="476"/>
      <c r="G310" s="1111"/>
      <c r="H310" s="109"/>
      <c r="I310" s="109"/>
      <c r="J310" s="109"/>
      <c r="K310" s="109"/>
      <c r="L310" s="109"/>
      <c r="M310" s="1112"/>
      <c r="O310" s="1108"/>
      <c r="P310" s="1109"/>
      <c r="Q310" s="1184"/>
      <c r="R310" s="525"/>
      <c r="S310" s="1110"/>
      <c r="T310" s="1109"/>
      <c r="U310" s="1110"/>
      <c r="V310" s="1109"/>
    </row>
    <row r="311" spans="2:22">
      <c r="B311" s="106"/>
      <c r="C311" s="477"/>
      <c r="D311" s="106"/>
      <c r="E311" s="109"/>
      <c r="F311" s="476"/>
      <c r="G311" s="1111"/>
      <c r="H311" s="109"/>
      <c r="I311" s="109"/>
      <c r="J311" s="109"/>
      <c r="K311" s="109"/>
      <c r="L311" s="109"/>
      <c r="M311" s="1112"/>
      <c r="O311" s="1108"/>
      <c r="P311" s="1109"/>
      <c r="Q311" s="1184"/>
      <c r="R311" s="525"/>
      <c r="S311" s="1110"/>
      <c r="T311" s="1109"/>
      <c r="U311" s="1110"/>
      <c r="V311" s="1109"/>
    </row>
    <row r="312" spans="2:22">
      <c r="B312" s="106"/>
      <c r="C312" s="477"/>
      <c r="D312" s="106"/>
      <c r="E312" s="109"/>
      <c r="F312" s="476"/>
      <c r="G312" s="1111"/>
      <c r="H312" s="109"/>
      <c r="I312" s="109"/>
      <c r="J312" s="109"/>
      <c r="K312" s="109"/>
      <c r="L312" s="109"/>
      <c r="M312" s="1112"/>
      <c r="O312" s="1108"/>
      <c r="P312" s="1109"/>
      <c r="Q312" s="1184"/>
      <c r="R312" s="525"/>
      <c r="S312" s="1110"/>
      <c r="T312" s="1109"/>
      <c r="U312" s="1110"/>
      <c r="V312" s="1109"/>
    </row>
    <row r="313" spans="2:22">
      <c r="B313" s="106"/>
      <c r="C313" s="477"/>
      <c r="D313" s="106"/>
      <c r="E313" s="109"/>
      <c r="F313" s="476"/>
      <c r="G313" s="1111"/>
      <c r="H313" s="109"/>
      <c r="I313" s="109"/>
      <c r="J313" s="109"/>
      <c r="K313" s="109"/>
      <c r="L313" s="109"/>
      <c r="M313" s="1112"/>
      <c r="O313" s="1108"/>
      <c r="P313" s="1109"/>
      <c r="Q313" s="1184"/>
      <c r="R313" s="525"/>
      <c r="S313" s="1110"/>
      <c r="T313" s="1109"/>
      <c r="U313" s="1110"/>
      <c r="V313" s="1109"/>
    </row>
    <row r="314" spans="2:22">
      <c r="B314" s="106"/>
      <c r="C314" s="477"/>
      <c r="D314" s="106"/>
      <c r="E314" s="109"/>
      <c r="F314" s="476"/>
      <c r="G314" s="1111"/>
      <c r="H314" s="109"/>
      <c r="I314" s="109"/>
      <c r="J314" s="109"/>
      <c r="K314" s="109"/>
      <c r="L314" s="109"/>
      <c r="M314" s="1112"/>
      <c r="O314" s="1108"/>
      <c r="P314" s="1109"/>
      <c r="Q314" s="1184"/>
      <c r="R314" s="525"/>
      <c r="S314" s="1110"/>
      <c r="T314" s="1109"/>
      <c r="U314" s="1110"/>
      <c r="V314" s="1109"/>
    </row>
    <row r="315" spans="2:22">
      <c r="B315" s="106"/>
      <c r="C315" s="477"/>
      <c r="D315" s="106"/>
      <c r="E315" s="109"/>
      <c r="F315" s="476"/>
      <c r="G315" s="1111"/>
      <c r="H315" s="109"/>
      <c r="I315" s="109"/>
      <c r="J315" s="109"/>
      <c r="K315" s="109"/>
      <c r="L315" s="109"/>
      <c r="M315" s="1112"/>
      <c r="O315" s="1108"/>
      <c r="P315" s="1109"/>
      <c r="Q315" s="1184"/>
      <c r="R315" s="525"/>
      <c r="S315" s="1110"/>
      <c r="T315" s="1109"/>
      <c r="U315" s="1110"/>
      <c r="V315" s="1109"/>
    </row>
    <row r="316" spans="2:22">
      <c r="B316" s="106"/>
      <c r="C316" s="477"/>
      <c r="D316" s="106"/>
      <c r="E316" s="109"/>
      <c r="F316" s="476"/>
      <c r="G316" s="1111"/>
      <c r="H316" s="109"/>
      <c r="I316" s="109"/>
      <c r="J316" s="109"/>
      <c r="K316" s="109"/>
      <c r="L316" s="109"/>
      <c r="M316" s="1112"/>
      <c r="O316" s="1108"/>
      <c r="P316" s="1109"/>
      <c r="Q316" s="1184"/>
      <c r="R316" s="525"/>
      <c r="S316" s="1110"/>
      <c r="T316" s="1109"/>
      <c r="U316" s="1110"/>
      <c r="V316" s="1109"/>
    </row>
    <row r="317" spans="2:22">
      <c r="B317" s="106"/>
      <c r="C317" s="477"/>
      <c r="D317" s="106"/>
      <c r="E317" s="109"/>
      <c r="F317" s="476"/>
      <c r="G317" s="1111"/>
      <c r="H317" s="109"/>
      <c r="I317" s="109"/>
      <c r="J317" s="109"/>
      <c r="K317" s="109"/>
      <c r="L317" s="109"/>
      <c r="M317" s="1112"/>
      <c r="O317" s="1108"/>
      <c r="P317" s="1109"/>
      <c r="Q317" s="1184"/>
      <c r="R317" s="525"/>
      <c r="S317" s="1110"/>
      <c r="T317" s="1109"/>
      <c r="U317" s="1110"/>
      <c r="V317" s="1109"/>
    </row>
    <row r="318" spans="2:22">
      <c r="B318" s="106"/>
      <c r="C318" s="477"/>
      <c r="D318" s="106"/>
      <c r="E318" s="109"/>
      <c r="F318" s="476"/>
      <c r="G318" s="1111"/>
      <c r="H318" s="109"/>
      <c r="I318" s="109"/>
      <c r="J318" s="109"/>
      <c r="K318" s="109"/>
      <c r="L318" s="109"/>
      <c r="M318" s="1112"/>
      <c r="O318" s="1108"/>
      <c r="P318" s="1109"/>
      <c r="Q318" s="1184"/>
      <c r="R318" s="525"/>
      <c r="S318" s="1110"/>
      <c r="T318" s="1109"/>
      <c r="U318" s="1110"/>
      <c r="V318" s="1109"/>
    </row>
    <row r="319" spans="2:22">
      <c r="B319" s="106"/>
      <c r="C319" s="477"/>
      <c r="D319" s="106"/>
      <c r="E319" s="109"/>
      <c r="F319" s="476"/>
      <c r="G319" s="1111"/>
      <c r="H319" s="109"/>
      <c r="I319" s="109"/>
      <c r="J319" s="109"/>
      <c r="K319" s="109"/>
      <c r="L319" s="109"/>
      <c r="M319" s="1112"/>
      <c r="O319" s="1108"/>
      <c r="P319" s="1109"/>
      <c r="Q319" s="1184"/>
      <c r="R319" s="525"/>
      <c r="S319" s="1110"/>
      <c r="T319" s="1109"/>
      <c r="U319" s="1110"/>
      <c r="V319" s="1109"/>
    </row>
    <row r="320" spans="2:22">
      <c r="B320" s="106"/>
      <c r="C320" s="477"/>
      <c r="D320" s="106"/>
      <c r="E320" s="109"/>
      <c r="F320" s="476"/>
      <c r="G320" s="1111"/>
      <c r="H320" s="109"/>
      <c r="I320" s="109"/>
      <c r="J320" s="109"/>
      <c r="K320" s="109"/>
      <c r="L320" s="109"/>
      <c r="M320" s="1112"/>
      <c r="O320" s="1108"/>
      <c r="P320" s="1109"/>
      <c r="Q320" s="1184"/>
      <c r="R320" s="525"/>
      <c r="S320" s="1110"/>
      <c r="T320" s="1109"/>
      <c r="U320" s="1110"/>
      <c r="V320" s="1109"/>
    </row>
    <row r="321" spans="2:22">
      <c r="B321" s="106"/>
      <c r="C321" s="477"/>
      <c r="D321" s="106"/>
      <c r="E321" s="109"/>
      <c r="F321" s="476"/>
      <c r="G321" s="1111"/>
      <c r="H321" s="109"/>
      <c r="I321" s="109"/>
      <c r="J321" s="109"/>
      <c r="K321" s="109"/>
      <c r="L321" s="109"/>
      <c r="M321" s="1112"/>
      <c r="O321" s="1108"/>
      <c r="P321" s="121"/>
      <c r="Q321" s="121"/>
      <c r="R321" s="525"/>
      <c r="S321" s="1110"/>
      <c r="T321" s="1109"/>
      <c r="U321" s="1110"/>
      <c r="V321" s="1109"/>
    </row>
    <row r="322" spans="2:22">
      <c r="B322" s="106"/>
      <c r="C322" s="477"/>
      <c r="D322" s="106"/>
      <c r="E322" s="109"/>
      <c r="F322" s="476"/>
      <c r="G322" s="1111"/>
      <c r="H322" s="109"/>
      <c r="I322" s="109"/>
      <c r="J322" s="109"/>
      <c r="K322" s="109"/>
      <c r="L322" s="109"/>
      <c r="M322" s="1112"/>
      <c r="O322" s="1108"/>
      <c r="P322" s="121"/>
      <c r="Q322" s="121"/>
      <c r="R322" s="525"/>
      <c r="S322" s="1110"/>
      <c r="T322" s="1109"/>
      <c r="U322" s="1110"/>
      <c r="V322" s="1109"/>
    </row>
    <row r="323" spans="2:22">
      <c r="B323" s="106"/>
      <c r="C323" s="477"/>
      <c r="D323" s="106"/>
      <c r="E323" s="109"/>
      <c r="F323" s="476"/>
      <c r="G323" s="1111"/>
      <c r="H323" s="109"/>
      <c r="I323" s="109"/>
      <c r="J323" s="109"/>
      <c r="K323" s="109"/>
      <c r="L323" s="109"/>
      <c r="M323" s="1112"/>
      <c r="O323" s="1108"/>
      <c r="P323" s="121"/>
      <c r="Q323" s="121"/>
      <c r="R323" s="525"/>
      <c r="S323" s="1110"/>
      <c r="T323" s="1109"/>
      <c r="U323" s="1110"/>
      <c r="V323" s="1109"/>
    </row>
    <row r="324" spans="2:22">
      <c r="B324" s="106"/>
      <c r="C324" s="477"/>
      <c r="D324" s="106"/>
      <c r="E324" s="109"/>
      <c r="F324" s="476"/>
      <c r="G324" s="1111"/>
      <c r="H324" s="109"/>
      <c r="I324" s="109"/>
      <c r="J324" s="109"/>
      <c r="K324" s="109"/>
      <c r="L324" s="109"/>
      <c r="M324" s="1112"/>
      <c r="O324" s="1108"/>
      <c r="P324" s="121"/>
      <c r="Q324" s="121"/>
      <c r="R324" s="525"/>
      <c r="S324" s="1110"/>
      <c r="T324" s="1109"/>
      <c r="U324" s="1110"/>
      <c r="V324" s="1109"/>
    </row>
    <row r="325" spans="2:22">
      <c r="B325" s="106"/>
      <c r="C325" s="477"/>
      <c r="D325" s="106"/>
      <c r="E325" s="109"/>
      <c r="F325" s="476"/>
      <c r="G325" s="1111"/>
      <c r="H325" s="109"/>
      <c r="I325" s="109"/>
      <c r="J325" s="109"/>
      <c r="K325" s="109"/>
      <c r="L325" s="109"/>
      <c r="M325" s="1112"/>
      <c r="O325" s="1108"/>
      <c r="P325" s="121"/>
      <c r="Q325" s="121"/>
      <c r="R325" s="525"/>
      <c r="S325" s="121"/>
      <c r="T325" s="121"/>
      <c r="U325" s="121"/>
      <c r="V325" s="121"/>
    </row>
    <row r="326" spans="2:22">
      <c r="B326" s="106"/>
      <c r="C326" s="477"/>
      <c r="D326" s="106"/>
      <c r="E326" s="109"/>
      <c r="F326" s="476"/>
      <c r="G326" s="1111"/>
      <c r="H326" s="109"/>
      <c r="I326" s="109"/>
      <c r="J326" s="109"/>
      <c r="K326" s="109"/>
      <c r="L326" s="109"/>
      <c r="M326" s="1112"/>
      <c r="O326" s="1108"/>
      <c r="P326" s="121"/>
      <c r="Q326" s="121"/>
      <c r="R326" s="525"/>
      <c r="S326" s="121"/>
      <c r="T326" s="121"/>
      <c r="U326" s="121"/>
      <c r="V326" s="121"/>
    </row>
    <row r="327" spans="2:22">
      <c r="B327" s="106"/>
      <c r="C327" s="477"/>
      <c r="D327" s="106"/>
      <c r="E327" s="109"/>
      <c r="F327" s="476"/>
      <c r="G327" s="1111"/>
      <c r="H327" s="109"/>
      <c r="I327" s="109"/>
      <c r="J327" s="109"/>
      <c r="K327" s="109"/>
      <c r="L327" s="109"/>
      <c r="M327" s="1112"/>
      <c r="O327" s="1108"/>
      <c r="P327" s="121"/>
      <c r="Q327" s="121"/>
      <c r="R327" s="525"/>
      <c r="S327" s="121"/>
      <c r="T327" s="121"/>
      <c r="U327" s="121"/>
      <c r="V327" s="121"/>
    </row>
    <row r="328" spans="2:22">
      <c r="B328" s="106"/>
      <c r="C328" s="477"/>
      <c r="D328" s="106"/>
      <c r="E328" s="109"/>
      <c r="F328" s="476"/>
      <c r="G328" s="1111"/>
      <c r="H328" s="109"/>
      <c r="I328" s="109"/>
      <c r="J328" s="109"/>
      <c r="K328" s="109"/>
      <c r="L328" s="109"/>
      <c r="M328" s="1112"/>
      <c r="O328" s="1108"/>
      <c r="P328" s="121"/>
      <c r="Q328" s="121"/>
      <c r="R328" s="525"/>
      <c r="S328" s="121"/>
      <c r="T328" s="121"/>
      <c r="U328" s="121"/>
      <c r="V328" s="121"/>
    </row>
    <row r="329" spans="2:22">
      <c r="B329" s="106"/>
      <c r="C329" s="477"/>
      <c r="D329" s="106"/>
      <c r="E329" s="109"/>
      <c r="F329" s="476"/>
      <c r="G329" s="1111"/>
      <c r="H329" s="109"/>
      <c r="I329" s="109"/>
      <c r="J329" s="109"/>
      <c r="K329" s="109"/>
      <c r="L329" s="109"/>
      <c r="M329" s="1112"/>
      <c r="O329" s="1108"/>
      <c r="P329" s="121"/>
      <c r="Q329" s="121"/>
      <c r="R329" s="525"/>
      <c r="S329" s="121"/>
      <c r="T329" s="121"/>
      <c r="U329" s="121"/>
      <c r="V329" s="121"/>
    </row>
    <row r="330" spans="2:22">
      <c r="B330" s="106"/>
      <c r="C330" s="477"/>
      <c r="D330" s="106"/>
      <c r="E330" s="109"/>
      <c r="F330" s="476"/>
      <c r="G330" s="1111"/>
      <c r="H330" s="109"/>
      <c r="I330" s="109"/>
      <c r="J330" s="109"/>
      <c r="K330" s="109"/>
      <c r="L330" s="109"/>
      <c r="M330" s="1112"/>
      <c r="O330" s="1108"/>
      <c r="P330" s="121"/>
      <c r="Q330" s="121"/>
      <c r="R330" s="525"/>
      <c r="S330" s="121"/>
      <c r="T330" s="121"/>
      <c r="U330" s="121"/>
      <c r="V330" s="121"/>
    </row>
    <row r="331" spans="2:22">
      <c r="B331" s="106"/>
      <c r="C331" s="477"/>
      <c r="D331" s="106"/>
      <c r="E331" s="109"/>
      <c r="F331" s="476"/>
      <c r="G331" s="1111"/>
      <c r="H331" s="109"/>
      <c r="I331" s="109"/>
      <c r="J331" s="109"/>
      <c r="K331" s="109"/>
      <c r="L331" s="109"/>
      <c r="M331" s="1112"/>
      <c r="O331" s="1108"/>
      <c r="P331" s="121"/>
      <c r="Q331" s="121"/>
      <c r="R331" s="525"/>
      <c r="S331" s="121"/>
      <c r="T331" s="121"/>
      <c r="U331" s="121"/>
      <c r="V331" s="121"/>
    </row>
    <row r="332" spans="2:22">
      <c r="B332" s="106"/>
      <c r="C332" s="477"/>
      <c r="D332" s="106"/>
      <c r="E332" s="109"/>
      <c r="F332" s="476"/>
      <c r="G332" s="1111"/>
      <c r="H332" s="109"/>
      <c r="I332" s="109"/>
      <c r="J332" s="109"/>
      <c r="K332" s="109"/>
      <c r="L332" s="109"/>
      <c r="M332" s="1112"/>
      <c r="O332" s="1108"/>
      <c r="P332" s="121"/>
      <c r="Q332" s="121"/>
      <c r="R332" s="525"/>
      <c r="S332" s="121"/>
      <c r="T332" s="121"/>
      <c r="U332" s="121"/>
      <c r="V332" s="121"/>
    </row>
    <row r="333" spans="2:22">
      <c r="B333" s="106"/>
      <c r="C333" s="477"/>
      <c r="D333" s="106"/>
      <c r="E333" s="109"/>
      <c r="F333" s="476"/>
      <c r="G333" s="1111"/>
      <c r="H333" s="109"/>
      <c r="I333" s="109"/>
      <c r="J333" s="109"/>
      <c r="K333" s="109"/>
      <c r="L333" s="109"/>
      <c r="M333" s="1112"/>
      <c r="O333" s="1108"/>
      <c r="P333" s="121"/>
      <c r="Q333" s="121"/>
      <c r="R333" s="525"/>
      <c r="S333" s="121"/>
      <c r="T333" s="121"/>
      <c r="U333" s="121"/>
      <c r="V333" s="121"/>
    </row>
    <row r="334" spans="2:22">
      <c r="B334" s="106"/>
      <c r="C334" s="477"/>
      <c r="D334" s="106"/>
      <c r="E334" s="109"/>
      <c r="F334" s="476"/>
      <c r="G334" s="1111"/>
      <c r="H334" s="109"/>
      <c r="I334" s="109"/>
      <c r="J334" s="109"/>
      <c r="K334" s="109"/>
      <c r="L334" s="109"/>
      <c r="M334" s="1112"/>
      <c r="O334" s="1108"/>
      <c r="P334" s="121"/>
      <c r="Q334" s="121"/>
      <c r="R334" s="525"/>
      <c r="S334" s="121"/>
      <c r="T334" s="121"/>
      <c r="U334" s="121"/>
      <c r="V334" s="121"/>
    </row>
    <row r="335" spans="2:22">
      <c r="B335" s="106"/>
      <c r="C335" s="477"/>
      <c r="D335" s="106"/>
      <c r="E335" s="109"/>
      <c r="F335" s="476"/>
      <c r="G335" s="1111"/>
      <c r="H335" s="109"/>
      <c r="I335" s="109"/>
      <c r="J335" s="109"/>
      <c r="K335" s="109"/>
      <c r="L335" s="109"/>
      <c r="M335" s="1112"/>
      <c r="O335" s="1108"/>
      <c r="P335" s="121"/>
      <c r="Q335" s="121"/>
      <c r="R335" s="525"/>
      <c r="S335" s="121"/>
      <c r="T335" s="121"/>
      <c r="U335" s="121"/>
      <c r="V335" s="121"/>
    </row>
    <row r="336" spans="2:22">
      <c r="B336" s="106"/>
      <c r="C336" s="477"/>
      <c r="D336" s="106"/>
      <c r="E336" s="109"/>
      <c r="F336" s="476"/>
      <c r="G336" s="1111"/>
      <c r="H336" s="109"/>
      <c r="I336" s="109"/>
      <c r="J336" s="109"/>
      <c r="K336" s="109"/>
      <c r="L336" s="109"/>
      <c r="M336" s="1112"/>
      <c r="O336" s="1108"/>
      <c r="P336" s="121"/>
      <c r="Q336" s="121"/>
      <c r="R336" s="525"/>
      <c r="S336" s="121"/>
      <c r="T336" s="121"/>
      <c r="U336" s="121"/>
      <c r="V336" s="121"/>
    </row>
    <row r="337" spans="2:22">
      <c r="B337" s="106"/>
      <c r="C337" s="477"/>
      <c r="D337" s="106"/>
      <c r="E337" s="109"/>
      <c r="F337" s="476"/>
      <c r="G337" s="1111"/>
      <c r="H337" s="109"/>
      <c r="I337" s="109"/>
      <c r="J337" s="109"/>
      <c r="K337" s="109"/>
      <c r="L337" s="109"/>
      <c r="M337" s="1112"/>
      <c r="O337" s="1108"/>
      <c r="P337" s="121"/>
      <c r="Q337" s="121"/>
      <c r="R337" s="525"/>
      <c r="S337" s="121"/>
      <c r="T337" s="121"/>
      <c r="U337" s="121"/>
      <c r="V337" s="121"/>
    </row>
    <row r="338" spans="2:22">
      <c r="B338" s="106"/>
      <c r="C338" s="477"/>
      <c r="D338" s="106"/>
      <c r="E338" s="109"/>
      <c r="F338" s="476"/>
      <c r="G338" s="1111"/>
      <c r="H338" s="109"/>
      <c r="I338" s="109"/>
      <c r="J338" s="109"/>
      <c r="K338" s="109"/>
      <c r="L338" s="109"/>
      <c r="M338" s="1112"/>
      <c r="O338" s="1108"/>
      <c r="P338" s="121"/>
      <c r="Q338" s="121"/>
      <c r="R338" s="525"/>
      <c r="S338" s="121"/>
      <c r="T338" s="121"/>
      <c r="U338" s="121"/>
      <c r="V338" s="121"/>
    </row>
    <row r="339" spans="2:22">
      <c r="B339" s="106"/>
      <c r="C339" s="477"/>
      <c r="D339" s="106"/>
      <c r="E339" s="109"/>
      <c r="F339" s="476"/>
      <c r="G339" s="1111"/>
      <c r="H339" s="109"/>
      <c r="I339" s="109"/>
      <c r="J339" s="109"/>
      <c r="K339" s="109"/>
      <c r="L339" s="109"/>
      <c r="M339" s="1112"/>
      <c r="O339" s="1108"/>
      <c r="P339" s="121"/>
      <c r="Q339" s="121"/>
      <c r="R339" s="525"/>
      <c r="S339" s="121"/>
      <c r="T339" s="121"/>
      <c r="U339" s="121"/>
      <c r="V339" s="121"/>
    </row>
    <row r="340" spans="2:22">
      <c r="B340" s="106"/>
      <c r="C340" s="477"/>
      <c r="D340" s="106"/>
      <c r="E340" s="109"/>
      <c r="F340" s="476"/>
      <c r="G340" s="1111"/>
      <c r="H340" s="109"/>
      <c r="I340" s="109"/>
      <c r="J340" s="109"/>
      <c r="K340" s="109"/>
      <c r="L340" s="109"/>
      <c r="M340" s="1112"/>
      <c r="O340" s="1108"/>
      <c r="P340" s="121"/>
      <c r="Q340" s="121"/>
      <c r="R340" s="525"/>
      <c r="S340" s="121"/>
      <c r="T340" s="121"/>
      <c r="U340" s="121"/>
      <c r="V340" s="121"/>
    </row>
    <row r="341" spans="2:22">
      <c r="B341" s="106"/>
      <c r="C341" s="477"/>
      <c r="D341" s="106"/>
      <c r="E341" s="109"/>
      <c r="F341" s="476"/>
      <c r="G341" s="1111"/>
      <c r="H341" s="109"/>
      <c r="I341" s="109"/>
      <c r="J341" s="109"/>
      <c r="K341" s="109"/>
      <c r="L341" s="109"/>
      <c r="M341" s="1112"/>
      <c r="O341" s="1108"/>
      <c r="P341" s="121"/>
      <c r="Q341" s="121"/>
      <c r="R341" s="525"/>
      <c r="S341" s="121"/>
      <c r="T341" s="121"/>
      <c r="U341" s="121"/>
      <c r="V341" s="121"/>
    </row>
    <row r="342" spans="2:22">
      <c r="B342" s="106"/>
      <c r="C342" s="477"/>
      <c r="D342" s="106"/>
      <c r="E342" s="109"/>
      <c r="F342" s="476"/>
      <c r="G342" s="1111"/>
      <c r="H342" s="109"/>
      <c r="I342" s="109"/>
      <c r="J342" s="109"/>
      <c r="K342" s="109"/>
      <c r="L342" s="109"/>
      <c r="M342" s="1112"/>
      <c r="O342" s="1108"/>
      <c r="P342" s="121"/>
      <c r="Q342" s="121"/>
      <c r="R342" s="525"/>
      <c r="S342" s="121"/>
      <c r="T342" s="121"/>
      <c r="U342" s="121"/>
      <c r="V342" s="121"/>
    </row>
    <row r="343" spans="2:22">
      <c r="B343" s="106"/>
      <c r="C343" s="477"/>
      <c r="D343" s="106"/>
      <c r="E343" s="109"/>
      <c r="F343" s="476"/>
      <c r="G343" s="1111"/>
      <c r="H343" s="109"/>
      <c r="I343" s="109"/>
      <c r="J343" s="109"/>
      <c r="K343" s="109"/>
      <c r="L343" s="109"/>
      <c r="M343" s="1112"/>
      <c r="O343" s="1108"/>
      <c r="P343" s="121"/>
      <c r="Q343" s="121"/>
      <c r="R343" s="121"/>
    </row>
    <row r="344" spans="2:22">
      <c r="B344" s="106"/>
      <c r="C344" s="477"/>
      <c r="D344" s="106"/>
      <c r="E344" s="109"/>
      <c r="F344" s="476"/>
      <c r="G344" s="1111"/>
      <c r="H344" s="109"/>
      <c r="I344" s="109"/>
      <c r="J344" s="109"/>
      <c r="K344" s="109"/>
      <c r="L344" s="109"/>
      <c r="M344" s="1112"/>
      <c r="O344" s="1108"/>
      <c r="P344" s="121"/>
      <c r="Q344" s="121"/>
      <c r="R344" s="121"/>
    </row>
    <row r="345" spans="2:22">
      <c r="B345" s="106"/>
      <c r="C345" s="477"/>
      <c r="D345" s="106"/>
      <c r="E345" s="109"/>
      <c r="F345" s="476"/>
      <c r="G345" s="1111"/>
      <c r="H345" s="109"/>
      <c r="I345" s="109"/>
      <c r="J345" s="109"/>
      <c r="K345" s="109"/>
      <c r="L345" s="109"/>
      <c r="M345" s="1112"/>
      <c r="O345" s="1108"/>
      <c r="P345" s="121"/>
      <c r="Q345" s="121"/>
      <c r="R345" s="121"/>
    </row>
    <row r="346" spans="2:22">
      <c r="B346" s="106"/>
      <c r="C346" s="477"/>
      <c r="D346" s="106"/>
      <c r="E346" s="109"/>
      <c r="F346" s="476"/>
      <c r="G346" s="1111"/>
      <c r="H346" s="109"/>
      <c r="I346" s="109"/>
      <c r="J346" s="109"/>
      <c r="K346" s="109"/>
      <c r="L346" s="109"/>
      <c r="M346" s="1112"/>
      <c r="O346" s="1108"/>
      <c r="P346" s="121"/>
      <c r="Q346" s="121"/>
      <c r="R346" s="121"/>
    </row>
    <row r="347" spans="2:22">
      <c r="B347" s="106"/>
      <c r="C347" s="477"/>
      <c r="D347" s="106"/>
      <c r="E347" s="109"/>
      <c r="F347" s="476"/>
      <c r="G347" s="1111"/>
      <c r="H347" s="109"/>
      <c r="I347" s="109"/>
      <c r="J347" s="109"/>
      <c r="K347" s="109"/>
      <c r="L347" s="109"/>
      <c r="M347" s="1112"/>
      <c r="O347" s="1108"/>
      <c r="P347" s="121"/>
      <c r="Q347" s="121"/>
      <c r="R347" s="121"/>
    </row>
    <row r="348" spans="2:22">
      <c r="B348" s="106"/>
      <c r="C348" s="477"/>
      <c r="D348" s="106"/>
      <c r="E348" s="109"/>
      <c r="F348" s="476"/>
      <c r="G348" s="1111"/>
      <c r="H348" s="109"/>
      <c r="I348" s="109"/>
      <c r="J348" s="109"/>
      <c r="K348" s="109"/>
      <c r="L348" s="109"/>
      <c r="M348" s="1112"/>
      <c r="O348" s="1108"/>
      <c r="P348" s="121"/>
      <c r="Q348" s="121"/>
      <c r="R348" s="121"/>
    </row>
    <row r="349" spans="2:22">
      <c r="B349" s="106"/>
      <c r="C349" s="477"/>
      <c r="D349" s="106"/>
      <c r="E349" s="109"/>
      <c r="F349" s="476"/>
      <c r="G349" s="1111"/>
      <c r="H349" s="109"/>
      <c r="I349" s="109"/>
      <c r="J349" s="109"/>
      <c r="K349" s="109"/>
      <c r="L349" s="109"/>
      <c r="M349" s="1112"/>
      <c r="O349" s="1108"/>
      <c r="P349" s="121"/>
      <c r="Q349" s="121"/>
      <c r="R349" s="121"/>
    </row>
    <row r="350" spans="2:22">
      <c r="B350" s="106"/>
      <c r="C350" s="477"/>
      <c r="D350" s="106"/>
      <c r="E350" s="109"/>
      <c r="F350" s="476"/>
      <c r="G350" s="1111"/>
      <c r="H350" s="109"/>
      <c r="I350" s="109"/>
      <c r="J350" s="109"/>
      <c r="K350" s="109"/>
      <c r="L350" s="109"/>
      <c r="M350" s="1112"/>
      <c r="O350" s="1108"/>
      <c r="P350" s="121"/>
      <c r="Q350" s="121"/>
      <c r="R350" s="121"/>
    </row>
    <row r="351" spans="2:22">
      <c r="B351" s="106"/>
      <c r="C351" s="477"/>
      <c r="D351" s="106"/>
      <c r="E351" s="109"/>
      <c r="F351" s="476"/>
      <c r="G351" s="1111"/>
      <c r="H351" s="109"/>
      <c r="I351" s="109"/>
      <c r="J351" s="109"/>
      <c r="K351" s="109"/>
      <c r="L351" s="109"/>
      <c r="M351" s="1112"/>
      <c r="O351" s="1108"/>
      <c r="P351" s="121"/>
      <c r="Q351" s="121"/>
      <c r="R351" s="121"/>
    </row>
    <row r="352" spans="2:22">
      <c r="B352" s="106"/>
      <c r="C352" s="477"/>
      <c r="D352" s="106"/>
      <c r="E352" s="109"/>
      <c r="F352" s="476"/>
      <c r="G352" s="1111"/>
      <c r="H352" s="109"/>
      <c r="I352" s="109"/>
      <c r="J352" s="109"/>
      <c r="K352" s="109"/>
      <c r="L352" s="109"/>
      <c r="M352" s="1112"/>
      <c r="O352" s="1108"/>
      <c r="P352" s="121"/>
      <c r="Q352" s="121"/>
      <c r="R352" s="121"/>
    </row>
    <row r="353" spans="2:18">
      <c r="B353" s="106"/>
      <c r="C353" s="477"/>
      <c r="D353" s="106"/>
      <c r="E353" s="109"/>
      <c r="F353" s="476"/>
      <c r="G353" s="1111"/>
      <c r="H353" s="109"/>
      <c r="I353" s="109"/>
      <c r="J353" s="109"/>
      <c r="K353" s="109"/>
      <c r="L353" s="109"/>
      <c r="M353" s="1112"/>
      <c r="O353" s="1108"/>
      <c r="P353" s="121"/>
      <c r="Q353" s="121"/>
      <c r="R353" s="121"/>
    </row>
    <row r="354" spans="2:18">
      <c r="B354" s="106"/>
      <c r="C354" s="477"/>
      <c r="D354" s="106"/>
      <c r="E354" s="109"/>
      <c r="F354" s="476"/>
      <c r="G354" s="1111"/>
      <c r="H354" s="109"/>
      <c r="I354" s="109"/>
      <c r="J354" s="109"/>
      <c r="K354" s="109"/>
      <c r="L354" s="109"/>
      <c r="M354" s="1112"/>
      <c r="O354" s="1108"/>
      <c r="P354" s="121"/>
      <c r="Q354" s="121"/>
      <c r="R354" s="121"/>
    </row>
    <row r="355" spans="2:18">
      <c r="B355" s="106"/>
      <c r="C355" s="477"/>
      <c r="D355" s="106"/>
      <c r="E355" s="109"/>
      <c r="F355" s="476"/>
      <c r="G355" s="1111"/>
      <c r="H355" s="109"/>
      <c r="I355" s="109"/>
      <c r="J355" s="109"/>
      <c r="K355" s="109"/>
      <c r="L355" s="109"/>
      <c r="M355" s="1112"/>
      <c r="O355" s="1108"/>
      <c r="P355" s="121"/>
      <c r="Q355" s="121"/>
      <c r="R355" s="121"/>
    </row>
    <row r="356" spans="2:18">
      <c r="B356" s="106"/>
      <c r="C356" s="477"/>
      <c r="D356" s="106"/>
      <c r="E356" s="109"/>
      <c r="F356" s="476"/>
      <c r="G356" s="1111"/>
      <c r="H356" s="109"/>
      <c r="I356" s="109"/>
      <c r="J356" s="109"/>
      <c r="K356" s="109"/>
      <c r="L356" s="109"/>
      <c r="M356" s="1112"/>
      <c r="O356" s="1108"/>
      <c r="P356" s="121"/>
      <c r="Q356" s="121"/>
      <c r="R356" s="121"/>
    </row>
    <row r="357" spans="2:18">
      <c r="B357" s="106"/>
      <c r="C357" s="477"/>
      <c r="D357" s="106"/>
      <c r="E357" s="109"/>
      <c r="F357" s="476"/>
      <c r="G357" s="1111"/>
      <c r="H357" s="109"/>
      <c r="I357" s="109"/>
      <c r="J357" s="109"/>
      <c r="K357" s="109"/>
      <c r="L357" s="109"/>
      <c r="M357" s="1112"/>
      <c r="O357" s="1108"/>
      <c r="P357" s="121"/>
      <c r="Q357" s="121"/>
      <c r="R357" s="121"/>
    </row>
    <row r="358" spans="2:18">
      <c r="B358" s="106"/>
      <c r="C358" s="477"/>
      <c r="D358" s="106"/>
      <c r="E358" s="109"/>
      <c r="F358" s="476"/>
      <c r="G358" s="1111"/>
      <c r="H358" s="109"/>
      <c r="I358" s="109"/>
      <c r="J358" s="109"/>
      <c r="K358" s="109"/>
      <c r="L358" s="109"/>
      <c r="M358" s="1112"/>
      <c r="O358" s="1108"/>
      <c r="P358" s="121"/>
      <c r="Q358" s="121"/>
      <c r="R358" s="121"/>
    </row>
    <row r="359" spans="2:18">
      <c r="B359" s="106"/>
      <c r="C359" s="477"/>
      <c r="D359" s="106"/>
      <c r="E359" s="109"/>
      <c r="F359" s="476"/>
      <c r="G359" s="1111"/>
      <c r="H359" s="109"/>
      <c r="I359" s="109"/>
      <c r="J359" s="109"/>
      <c r="K359" s="109"/>
      <c r="L359" s="109"/>
      <c r="M359" s="1112"/>
      <c r="O359" s="1108"/>
      <c r="P359" s="121"/>
      <c r="Q359" s="121"/>
      <c r="R359" s="121"/>
    </row>
    <row r="360" spans="2:18">
      <c r="B360" s="106"/>
      <c r="C360" s="477"/>
      <c r="D360" s="106"/>
      <c r="E360" s="109"/>
      <c r="F360" s="476"/>
      <c r="G360" s="1111"/>
      <c r="H360" s="109"/>
      <c r="I360" s="109"/>
      <c r="J360" s="109"/>
      <c r="K360" s="109"/>
      <c r="L360" s="109"/>
      <c r="M360" s="1112"/>
      <c r="O360" s="1108"/>
      <c r="P360" s="121"/>
      <c r="Q360" s="121"/>
      <c r="R360" s="121"/>
    </row>
    <row r="361" spans="2:18">
      <c r="B361" s="106"/>
      <c r="C361" s="477"/>
      <c r="D361" s="106"/>
      <c r="E361" s="109"/>
      <c r="F361" s="476"/>
      <c r="G361" s="1111"/>
      <c r="H361" s="109"/>
      <c r="I361" s="109"/>
      <c r="J361" s="109"/>
      <c r="K361" s="109"/>
      <c r="L361" s="109"/>
      <c r="M361" s="1112"/>
      <c r="O361" s="1108"/>
      <c r="P361" s="121"/>
      <c r="Q361" s="121"/>
      <c r="R361" s="121"/>
    </row>
    <row r="362" spans="2:18">
      <c r="B362" s="106"/>
      <c r="C362" s="477"/>
      <c r="D362" s="106"/>
      <c r="E362" s="109"/>
      <c r="F362" s="476"/>
      <c r="G362" s="1111"/>
      <c r="H362" s="109"/>
      <c r="I362" s="109"/>
      <c r="J362" s="109"/>
      <c r="K362" s="109"/>
      <c r="L362" s="109"/>
      <c r="M362" s="1112"/>
      <c r="O362" s="1108"/>
      <c r="P362" s="121"/>
      <c r="Q362" s="121"/>
      <c r="R362" s="121"/>
    </row>
    <row r="363" spans="2:18">
      <c r="B363" s="106"/>
      <c r="C363" s="477"/>
      <c r="D363" s="106"/>
      <c r="E363" s="109"/>
      <c r="F363" s="476"/>
      <c r="G363" s="1111"/>
      <c r="H363" s="109"/>
      <c r="I363" s="109"/>
      <c r="J363" s="109"/>
      <c r="K363" s="109"/>
      <c r="L363" s="109"/>
      <c r="M363" s="1112"/>
      <c r="O363" s="1108"/>
      <c r="P363" s="121"/>
      <c r="Q363" s="121"/>
      <c r="R363" s="121"/>
    </row>
    <row r="364" spans="2:18">
      <c r="B364" s="106"/>
      <c r="C364" s="477"/>
      <c r="D364" s="106"/>
      <c r="E364" s="109"/>
      <c r="F364" s="476"/>
      <c r="G364" s="1111"/>
      <c r="H364" s="109"/>
      <c r="I364" s="109"/>
      <c r="J364" s="109"/>
      <c r="K364" s="109"/>
      <c r="L364" s="109"/>
      <c r="M364" s="1112"/>
      <c r="O364" s="1108"/>
      <c r="P364" s="121"/>
      <c r="Q364" s="121"/>
      <c r="R364" s="121"/>
    </row>
    <row r="365" spans="2:18">
      <c r="B365" s="106"/>
      <c r="C365" s="477"/>
      <c r="D365" s="106"/>
      <c r="E365" s="109"/>
      <c r="F365" s="476"/>
      <c r="G365" s="1111"/>
      <c r="H365" s="109"/>
      <c r="I365" s="109"/>
      <c r="J365" s="109"/>
      <c r="K365" s="109"/>
      <c r="L365" s="109"/>
      <c r="M365" s="1112"/>
      <c r="O365" s="1108"/>
      <c r="P365" s="121"/>
      <c r="Q365" s="121"/>
      <c r="R365" s="121"/>
    </row>
    <row r="366" spans="2:18">
      <c r="B366" s="106"/>
      <c r="C366" s="477"/>
      <c r="D366" s="106"/>
      <c r="E366" s="109"/>
      <c r="F366" s="476"/>
      <c r="G366" s="1111"/>
      <c r="H366" s="109"/>
      <c r="I366" s="109"/>
      <c r="J366" s="109"/>
      <c r="K366" s="109"/>
      <c r="L366" s="109"/>
      <c r="M366" s="1112"/>
      <c r="O366" s="1108"/>
      <c r="P366" s="121"/>
      <c r="Q366" s="121"/>
      <c r="R366" s="121"/>
    </row>
    <row r="367" spans="2:18">
      <c r="B367" s="106"/>
      <c r="C367" s="477"/>
      <c r="D367" s="106"/>
      <c r="E367" s="109"/>
      <c r="F367" s="476"/>
      <c r="G367" s="1111"/>
      <c r="H367" s="109"/>
      <c r="I367" s="109"/>
      <c r="J367" s="109"/>
      <c r="K367" s="109"/>
      <c r="L367" s="109"/>
      <c r="M367" s="1112"/>
      <c r="O367" s="1108"/>
      <c r="P367" s="121"/>
      <c r="Q367" s="121"/>
      <c r="R367" s="121"/>
    </row>
    <row r="368" spans="2:18">
      <c r="B368" s="106"/>
      <c r="C368" s="477"/>
      <c r="D368" s="106"/>
      <c r="E368" s="109"/>
      <c r="F368" s="476"/>
      <c r="G368" s="1111"/>
      <c r="H368" s="109"/>
      <c r="I368" s="109"/>
      <c r="J368" s="109"/>
      <c r="K368" s="109"/>
      <c r="L368" s="109"/>
      <c r="M368" s="1112"/>
      <c r="O368" s="1108"/>
      <c r="P368" s="121"/>
      <c r="Q368" s="121"/>
      <c r="R368" s="121"/>
    </row>
    <row r="369" spans="2:18">
      <c r="B369" s="106"/>
      <c r="C369" s="477"/>
      <c r="D369" s="106"/>
      <c r="E369" s="109"/>
      <c r="F369" s="476"/>
      <c r="G369" s="1111"/>
      <c r="H369" s="109"/>
      <c r="I369" s="109"/>
      <c r="J369" s="109"/>
      <c r="K369" s="109"/>
      <c r="L369" s="109"/>
      <c r="M369" s="1112"/>
      <c r="O369" s="1108"/>
      <c r="P369" s="121"/>
      <c r="Q369" s="121"/>
      <c r="R369" s="121"/>
    </row>
    <row r="370" spans="2:18">
      <c r="B370" s="106"/>
      <c r="C370" s="477"/>
      <c r="D370" s="106"/>
      <c r="E370" s="109"/>
      <c r="F370" s="476"/>
      <c r="G370" s="1111"/>
      <c r="H370" s="109"/>
      <c r="I370" s="109"/>
      <c r="J370" s="109"/>
      <c r="K370" s="109"/>
      <c r="L370" s="109"/>
      <c r="M370" s="1112"/>
      <c r="O370" s="1108"/>
      <c r="P370" s="121"/>
      <c r="Q370" s="121"/>
      <c r="R370" s="121"/>
    </row>
    <row r="371" spans="2:18">
      <c r="B371" s="106"/>
      <c r="C371" s="477"/>
      <c r="D371" s="106"/>
      <c r="E371" s="109"/>
      <c r="F371" s="476"/>
      <c r="G371" s="1111"/>
      <c r="H371" s="109"/>
      <c r="I371" s="109"/>
      <c r="J371" s="109"/>
      <c r="K371" s="109"/>
      <c r="L371" s="109"/>
      <c r="M371" s="1112"/>
      <c r="O371" s="1108"/>
      <c r="P371" s="121"/>
      <c r="Q371" s="121"/>
      <c r="R371" s="121"/>
    </row>
    <row r="372" spans="2:18">
      <c r="B372" s="106"/>
      <c r="C372" s="477"/>
      <c r="D372" s="106"/>
      <c r="E372" s="109"/>
      <c r="F372" s="476"/>
      <c r="G372" s="1111"/>
      <c r="H372" s="109"/>
      <c r="I372" s="109"/>
      <c r="J372" s="109"/>
      <c r="K372" s="109"/>
      <c r="L372" s="109"/>
      <c r="M372" s="1112"/>
      <c r="O372" s="1108"/>
      <c r="P372" s="121"/>
      <c r="Q372" s="121"/>
      <c r="R372" s="121"/>
    </row>
    <row r="373" spans="2:18">
      <c r="B373" s="106"/>
      <c r="C373" s="477"/>
      <c r="D373" s="106"/>
      <c r="E373" s="109"/>
      <c r="F373" s="476"/>
      <c r="G373" s="1111"/>
      <c r="H373" s="109"/>
      <c r="I373" s="109"/>
      <c r="J373" s="109"/>
      <c r="K373" s="109"/>
      <c r="L373" s="109"/>
      <c r="M373" s="1112"/>
      <c r="O373" s="1108"/>
      <c r="P373" s="121"/>
      <c r="Q373" s="121"/>
      <c r="R373" s="121"/>
    </row>
    <row r="374" spans="2:18">
      <c r="B374" s="106"/>
      <c r="C374" s="477"/>
      <c r="D374" s="106"/>
      <c r="E374" s="109"/>
      <c r="F374" s="476"/>
      <c r="G374" s="1111"/>
      <c r="H374" s="109"/>
      <c r="I374" s="109"/>
      <c r="J374" s="109"/>
      <c r="K374" s="109"/>
      <c r="L374" s="109"/>
      <c r="M374" s="1112"/>
      <c r="O374" s="1108"/>
      <c r="P374" s="121"/>
      <c r="Q374" s="121"/>
      <c r="R374" s="121"/>
    </row>
    <row r="375" spans="2:18">
      <c r="B375" s="106"/>
      <c r="C375" s="477"/>
      <c r="D375" s="106"/>
      <c r="E375" s="109"/>
      <c r="F375" s="476"/>
      <c r="G375" s="1111"/>
      <c r="H375" s="109"/>
      <c r="I375" s="109"/>
      <c r="J375" s="109"/>
      <c r="K375" s="109"/>
      <c r="L375" s="109"/>
      <c r="M375" s="1112"/>
      <c r="O375" s="1108"/>
      <c r="P375" s="121"/>
      <c r="Q375" s="121"/>
      <c r="R375" s="121"/>
    </row>
    <row r="376" spans="2:18">
      <c r="B376" s="106"/>
      <c r="C376" s="477"/>
      <c r="D376" s="106"/>
      <c r="E376" s="109"/>
      <c r="F376" s="476"/>
      <c r="G376" s="1111"/>
      <c r="H376" s="109"/>
      <c r="I376" s="109"/>
      <c r="J376" s="109"/>
      <c r="K376" s="109"/>
      <c r="L376" s="109"/>
      <c r="M376" s="1112"/>
      <c r="O376" s="1108"/>
      <c r="P376" s="121"/>
      <c r="Q376" s="121"/>
      <c r="R376" s="121"/>
    </row>
    <row r="377" spans="2:18">
      <c r="B377" s="106"/>
      <c r="C377" s="477"/>
      <c r="D377" s="106"/>
      <c r="E377" s="109"/>
      <c r="F377" s="476"/>
      <c r="G377" s="1111"/>
      <c r="H377" s="109"/>
      <c r="I377" s="109"/>
      <c r="J377" s="109"/>
      <c r="K377" s="109"/>
      <c r="L377" s="109"/>
      <c r="M377" s="1112"/>
      <c r="O377" s="1108"/>
      <c r="P377" s="121"/>
      <c r="Q377" s="121"/>
      <c r="R377" s="121"/>
    </row>
    <row r="378" spans="2:18">
      <c r="B378" s="106"/>
      <c r="C378" s="477"/>
      <c r="D378" s="106"/>
      <c r="E378" s="109"/>
      <c r="F378" s="476"/>
      <c r="G378" s="1111"/>
      <c r="H378" s="109"/>
      <c r="I378" s="109"/>
      <c r="J378" s="109"/>
      <c r="K378" s="109"/>
      <c r="L378" s="109"/>
      <c r="M378" s="1112"/>
      <c r="O378" s="1108"/>
      <c r="P378" s="121"/>
      <c r="Q378" s="121"/>
      <c r="R378" s="121"/>
    </row>
    <row r="379" spans="2:18">
      <c r="B379" s="106"/>
      <c r="C379" s="477"/>
      <c r="D379" s="106"/>
      <c r="E379" s="109"/>
      <c r="F379" s="476"/>
      <c r="G379" s="1111"/>
      <c r="H379" s="109"/>
      <c r="I379" s="109"/>
      <c r="J379" s="109"/>
      <c r="K379" s="109"/>
      <c r="L379" s="109"/>
      <c r="M379" s="1112"/>
      <c r="O379" s="1108"/>
      <c r="P379" s="121"/>
      <c r="Q379" s="121"/>
      <c r="R379" s="121"/>
    </row>
    <row r="380" spans="2:18">
      <c r="B380" s="106"/>
      <c r="C380" s="477"/>
      <c r="D380" s="106"/>
      <c r="E380" s="109"/>
      <c r="F380" s="476"/>
      <c r="G380" s="1111"/>
      <c r="H380" s="109"/>
      <c r="I380" s="109"/>
      <c r="J380" s="109"/>
      <c r="K380" s="109"/>
      <c r="L380" s="109"/>
      <c r="M380" s="1112"/>
      <c r="O380" s="1108"/>
      <c r="P380" s="121"/>
      <c r="Q380" s="121"/>
      <c r="R380" s="121"/>
    </row>
    <row r="381" spans="2:18">
      <c r="B381" s="106"/>
      <c r="C381" s="477"/>
      <c r="D381" s="106"/>
      <c r="E381" s="109"/>
      <c r="F381" s="476"/>
      <c r="G381" s="1111"/>
      <c r="H381" s="109"/>
      <c r="I381" s="109"/>
      <c r="J381" s="109"/>
      <c r="K381" s="109"/>
      <c r="L381" s="109"/>
      <c r="M381" s="1112"/>
      <c r="O381" s="1108"/>
      <c r="P381" s="121"/>
      <c r="Q381" s="121"/>
      <c r="R381" s="121"/>
    </row>
    <row r="382" spans="2:18">
      <c r="B382" s="106"/>
      <c r="C382" s="477"/>
      <c r="D382" s="106"/>
      <c r="E382" s="109"/>
      <c r="F382" s="476"/>
      <c r="G382" s="1111"/>
      <c r="H382" s="109"/>
      <c r="I382" s="109"/>
      <c r="J382" s="109"/>
      <c r="K382" s="109"/>
      <c r="L382" s="109"/>
      <c r="M382" s="1112"/>
      <c r="O382" s="1108"/>
      <c r="P382" s="121"/>
      <c r="Q382" s="121"/>
      <c r="R382" s="121"/>
    </row>
    <row r="383" spans="2:18">
      <c r="B383" s="106"/>
      <c r="C383" s="477"/>
      <c r="D383" s="106"/>
      <c r="E383" s="109"/>
      <c r="F383" s="476"/>
      <c r="G383" s="1111"/>
      <c r="H383" s="109"/>
      <c r="I383" s="109"/>
      <c r="J383" s="109"/>
      <c r="K383" s="109"/>
      <c r="L383" s="109"/>
      <c r="M383" s="1112"/>
      <c r="O383" s="1108"/>
      <c r="P383" s="121"/>
      <c r="Q383" s="121"/>
      <c r="R383" s="121"/>
    </row>
    <row r="384" spans="2:18">
      <c r="B384" s="106"/>
      <c r="C384" s="477"/>
      <c r="D384" s="106"/>
      <c r="E384" s="109"/>
      <c r="F384" s="476"/>
      <c r="G384" s="1111"/>
      <c r="H384" s="109"/>
      <c r="I384" s="109"/>
      <c r="J384" s="109"/>
      <c r="K384" s="109"/>
      <c r="L384" s="109"/>
      <c r="M384" s="1112"/>
      <c r="O384" s="1108"/>
      <c r="P384" s="121"/>
      <c r="Q384" s="121"/>
      <c r="R384" s="121"/>
    </row>
    <row r="385" spans="2:18">
      <c r="B385" s="106"/>
      <c r="C385" s="477"/>
      <c r="D385" s="106"/>
      <c r="E385" s="109"/>
      <c r="F385" s="476"/>
      <c r="G385" s="1111"/>
      <c r="H385" s="109"/>
      <c r="I385" s="109"/>
      <c r="J385" s="109"/>
      <c r="K385" s="109"/>
      <c r="L385" s="109"/>
      <c r="M385" s="1112"/>
      <c r="O385" s="1108"/>
      <c r="P385" s="121"/>
      <c r="Q385" s="121"/>
      <c r="R385" s="121"/>
    </row>
    <row r="386" spans="2:18">
      <c r="B386" s="106"/>
      <c r="C386" s="477"/>
      <c r="D386" s="106"/>
      <c r="E386" s="109"/>
      <c r="F386" s="476"/>
      <c r="G386" s="1111"/>
      <c r="H386" s="109"/>
      <c r="I386" s="109"/>
      <c r="J386" s="109"/>
      <c r="K386" s="109"/>
      <c r="L386" s="109"/>
      <c r="M386" s="1112"/>
      <c r="O386" s="1108"/>
      <c r="P386" s="121"/>
      <c r="Q386" s="121"/>
      <c r="R386" s="121"/>
    </row>
    <row r="387" spans="2:18">
      <c r="B387" s="106"/>
      <c r="C387" s="477"/>
      <c r="D387" s="106"/>
      <c r="E387" s="109"/>
      <c r="F387" s="476"/>
      <c r="G387" s="1111"/>
      <c r="H387" s="109"/>
      <c r="I387" s="109"/>
      <c r="J387" s="109"/>
      <c r="K387" s="109"/>
      <c r="L387" s="109"/>
      <c r="M387" s="1112"/>
      <c r="O387" s="1108"/>
      <c r="P387" s="121"/>
      <c r="Q387" s="121"/>
      <c r="R387" s="121"/>
    </row>
    <row r="388" spans="2:18">
      <c r="B388" s="106"/>
      <c r="C388" s="477"/>
      <c r="D388" s="106"/>
      <c r="E388" s="109"/>
      <c r="F388" s="476"/>
      <c r="G388" s="1111"/>
      <c r="H388" s="109"/>
      <c r="I388" s="109"/>
      <c r="J388" s="109"/>
      <c r="K388" s="109"/>
      <c r="L388" s="109"/>
      <c r="M388" s="1112"/>
      <c r="O388" s="1108"/>
      <c r="P388" s="121"/>
      <c r="Q388" s="121"/>
      <c r="R388" s="121"/>
    </row>
    <row r="389" spans="2:18">
      <c r="B389" s="106"/>
      <c r="C389" s="477"/>
      <c r="D389" s="106"/>
      <c r="E389" s="109"/>
      <c r="F389" s="476"/>
      <c r="G389" s="1111"/>
      <c r="H389" s="109"/>
      <c r="I389" s="109"/>
      <c r="J389" s="109"/>
      <c r="K389" s="109"/>
      <c r="L389" s="109"/>
      <c r="M389" s="1112"/>
      <c r="O389" s="1108"/>
      <c r="P389" s="121"/>
      <c r="Q389" s="121"/>
      <c r="R389" s="121"/>
    </row>
    <row r="390" spans="2:18">
      <c r="B390" s="106"/>
      <c r="C390" s="477"/>
      <c r="D390" s="106"/>
      <c r="E390" s="109"/>
      <c r="F390" s="476"/>
      <c r="G390" s="1111"/>
      <c r="H390" s="109"/>
      <c r="I390" s="109"/>
      <c r="J390" s="109"/>
      <c r="K390" s="109"/>
      <c r="L390" s="109"/>
      <c r="M390" s="1112"/>
      <c r="O390" s="1108"/>
      <c r="P390" s="121"/>
      <c r="Q390" s="121"/>
      <c r="R390" s="121"/>
    </row>
    <row r="391" spans="2:18">
      <c r="B391" s="106"/>
      <c r="C391" s="477"/>
      <c r="D391" s="106"/>
      <c r="E391" s="109"/>
      <c r="F391" s="476"/>
      <c r="G391" s="1111"/>
      <c r="H391" s="109"/>
      <c r="I391" s="109"/>
      <c r="J391" s="109"/>
      <c r="K391" s="109"/>
      <c r="L391" s="109"/>
      <c r="M391" s="1112"/>
      <c r="O391" s="1108"/>
      <c r="P391" s="121"/>
      <c r="Q391" s="121"/>
      <c r="R391" s="121"/>
    </row>
    <row r="392" spans="2:18">
      <c r="B392" s="106"/>
      <c r="C392" s="477"/>
      <c r="D392" s="106"/>
      <c r="E392" s="109"/>
      <c r="F392" s="476"/>
      <c r="G392" s="1111"/>
      <c r="H392" s="109"/>
      <c r="I392" s="109"/>
      <c r="J392" s="109"/>
      <c r="K392" s="109"/>
      <c r="L392" s="109"/>
      <c r="M392" s="1112"/>
      <c r="O392" s="1108"/>
      <c r="P392" s="121"/>
      <c r="Q392" s="121"/>
      <c r="R392" s="121"/>
    </row>
    <row r="393" spans="2:18">
      <c r="B393" s="106"/>
      <c r="C393" s="477"/>
      <c r="D393" s="106"/>
      <c r="E393" s="109"/>
      <c r="F393" s="476"/>
      <c r="G393" s="1111"/>
      <c r="H393" s="109"/>
      <c r="I393" s="109"/>
      <c r="J393" s="109"/>
      <c r="K393" s="109"/>
      <c r="L393" s="109"/>
      <c r="M393" s="1112"/>
      <c r="O393" s="1108"/>
      <c r="P393" s="121"/>
      <c r="Q393" s="121"/>
      <c r="R393" s="121"/>
    </row>
    <row r="394" spans="2:18">
      <c r="B394" s="106"/>
      <c r="C394" s="477"/>
      <c r="D394" s="106"/>
      <c r="E394" s="109"/>
      <c r="F394" s="476"/>
      <c r="G394" s="1111"/>
      <c r="H394" s="109"/>
      <c r="I394" s="109"/>
      <c r="J394" s="109"/>
      <c r="K394" s="109"/>
      <c r="L394" s="109"/>
      <c r="M394" s="1112"/>
      <c r="O394" s="1108"/>
      <c r="P394" s="121"/>
      <c r="Q394" s="121"/>
      <c r="R394" s="121"/>
    </row>
    <row r="395" spans="2:18">
      <c r="B395" s="106"/>
      <c r="C395" s="477"/>
      <c r="D395" s="106"/>
      <c r="E395" s="109"/>
      <c r="F395" s="476"/>
      <c r="G395" s="1111"/>
      <c r="H395" s="109"/>
      <c r="I395" s="109"/>
      <c r="J395" s="109"/>
      <c r="K395" s="109"/>
      <c r="L395" s="109"/>
      <c r="M395" s="1112"/>
      <c r="O395" s="1108"/>
      <c r="P395" s="121"/>
      <c r="Q395" s="121"/>
      <c r="R395" s="121"/>
    </row>
    <row r="396" spans="2:18">
      <c r="B396" s="106"/>
      <c r="C396" s="477"/>
      <c r="D396" s="106"/>
      <c r="E396" s="109"/>
      <c r="F396" s="476"/>
      <c r="G396" s="1111"/>
      <c r="H396" s="109"/>
      <c r="I396" s="109"/>
      <c r="J396" s="109"/>
      <c r="K396" s="109"/>
      <c r="L396" s="109"/>
      <c r="M396" s="1112"/>
      <c r="O396" s="1108"/>
      <c r="P396" s="121"/>
      <c r="Q396" s="121"/>
      <c r="R396" s="121"/>
    </row>
    <row r="397" spans="2:18">
      <c r="B397" s="106"/>
      <c r="C397" s="477"/>
      <c r="D397" s="106"/>
      <c r="E397" s="109"/>
      <c r="F397" s="476"/>
      <c r="G397" s="1111"/>
      <c r="H397" s="109"/>
      <c r="I397" s="109"/>
      <c r="J397" s="109"/>
      <c r="K397" s="109"/>
      <c r="L397" s="109"/>
      <c r="M397" s="1112"/>
      <c r="O397" s="1108"/>
      <c r="P397" s="121"/>
      <c r="Q397" s="121"/>
      <c r="R397" s="121"/>
    </row>
    <row r="398" spans="2:18">
      <c r="B398" s="106"/>
      <c r="C398" s="477"/>
      <c r="D398" s="106"/>
      <c r="E398" s="109"/>
      <c r="F398" s="476"/>
      <c r="G398" s="1111"/>
      <c r="H398" s="109"/>
      <c r="I398" s="109"/>
      <c r="J398" s="109"/>
      <c r="K398" s="109"/>
      <c r="L398" s="109"/>
      <c r="M398" s="1112"/>
      <c r="O398" s="1108"/>
      <c r="P398" s="121"/>
      <c r="Q398" s="121"/>
      <c r="R398" s="121"/>
    </row>
    <row r="399" spans="2:18">
      <c r="B399" s="106"/>
      <c r="C399" s="477"/>
      <c r="D399" s="106"/>
      <c r="E399" s="109"/>
      <c r="F399" s="476"/>
      <c r="G399" s="1111"/>
      <c r="H399" s="109"/>
      <c r="I399" s="109"/>
      <c r="J399" s="109"/>
      <c r="K399" s="109"/>
      <c r="L399" s="109"/>
      <c r="M399" s="1112"/>
      <c r="O399" s="1108"/>
      <c r="P399" s="121"/>
      <c r="Q399" s="121"/>
      <c r="R399" s="121"/>
    </row>
    <row r="400" spans="2:18">
      <c r="B400" s="106"/>
      <c r="C400" s="477"/>
      <c r="D400" s="106"/>
      <c r="E400" s="109"/>
      <c r="F400" s="476"/>
      <c r="G400" s="1111"/>
      <c r="H400" s="109"/>
      <c r="I400" s="109"/>
      <c r="J400" s="109"/>
      <c r="K400" s="109"/>
      <c r="L400" s="109"/>
      <c r="M400" s="1112"/>
      <c r="O400" s="1108"/>
      <c r="P400" s="121"/>
      <c r="Q400" s="121"/>
      <c r="R400" s="121"/>
    </row>
    <row r="401" spans="2:18">
      <c r="B401" s="106"/>
      <c r="C401" s="477"/>
      <c r="D401" s="106"/>
      <c r="E401" s="109"/>
      <c r="F401" s="476"/>
      <c r="G401" s="1111"/>
      <c r="H401" s="109"/>
      <c r="I401" s="109"/>
      <c r="J401" s="109"/>
      <c r="K401" s="109"/>
      <c r="L401" s="109"/>
      <c r="M401" s="1112"/>
      <c r="O401" s="1108"/>
      <c r="P401" s="121"/>
      <c r="Q401" s="121"/>
      <c r="R401" s="121"/>
    </row>
    <row r="402" spans="2:18">
      <c r="B402" s="106"/>
      <c r="C402" s="477"/>
      <c r="D402" s="106"/>
      <c r="E402" s="109"/>
      <c r="F402" s="476"/>
      <c r="G402" s="1111"/>
      <c r="H402" s="109"/>
      <c r="I402" s="109"/>
      <c r="J402" s="109"/>
      <c r="K402" s="109"/>
      <c r="L402" s="109"/>
      <c r="M402" s="1112"/>
      <c r="O402" s="1108"/>
      <c r="P402" s="121"/>
      <c r="Q402" s="121"/>
      <c r="R402" s="121"/>
    </row>
    <row r="403" spans="2:18">
      <c r="B403" s="106"/>
      <c r="C403" s="477"/>
      <c r="D403" s="106"/>
      <c r="E403" s="109"/>
      <c r="F403" s="476"/>
      <c r="G403" s="1111"/>
      <c r="H403" s="109"/>
      <c r="I403" s="109"/>
      <c r="J403" s="109"/>
      <c r="K403" s="109"/>
      <c r="L403" s="109"/>
      <c r="M403" s="1112"/>
      <c r="O403" s="1108"/>
      <c r="P403" s="121"/>
      <c r="Q403" s="121"/>
      <c r="R403" s="121"/>
    </row>
    <row r="404" spans="2:18">
      <c r="B404" s="106"/>
      <c r="C404" s="477"/>
      <c r="D404" s="106"/>
      <c r="E404" s="109"/>
      <c r="F404" s="476"/>
      <c r="G404" s="1111"/>
      <c r="H404" s="109"/>
      <c r="I404" s="109"/>
      <c r="J404" s="109"/>
      <c r="K404" s="109"/>
      <c r="L404" s="109"/>
      <c r="M404" s="1112"/>
      <c r="O404" s="1108"/>
      <c r="P404" s="121"/>
      <c r="Q404" s="121"/>
      <c r="R404" s="121"/>
    </row>
    <row r="405" spans="2:18">
      <c r="B405" s="106"/>
      <c r="C405" s="477"/>
      <c r="D405" s="106"/>
      <c r="E405" s="109"/>
      <c r="F405" s="476"/>
      <c r="G405" s="1111"/>
      <c r="H405" s="109"/>
      <c r="I405" s="109"/>
      <c r="J405" s="109"/>
      <c r="K405" s="109"/>
      <c r="L405" s="109"/>
      <c r="M405" s="1112"/>
      <c r="O405" s="1108"/>
      <c r="P405" s="121"/>
      <c r="Q405" s="121"/>
      <c r="R405" s="121"/>
    </row>
    <row r="406" spans="2:18">
      <c r="B406" s="106"/>
      <c r="C406" s="477"/>
      <c r="D406" s="106"/>
      <c r="E406" s="109"/>
      <c r="F406" s="476"/>
      <c r="G406" s="1111"/>
      <c r="H406" s="109"/>
      <c r="I406" s="109"/>
      <c r="J406" s="109"/>
      <c r="K406" s="109"/>
      <c r="L406" s="109"/>
      <c r="M406" s="1112"/>
      <c r="O406" s="1108"/>
      <c r="P406" s="121"/>
      <c r="Q406" s="121"/>
      <c r="R406" s="121"/>
    </row>
    <row r="407" spans="2:18">
      <c r="B407" s="106"/>
      <c r="C407" s="477"/>
      <c r="D407" s="106"/>
      <c r="E407" s="109"/>
      <c r="F407" s="476"/>
      <c r="G407" s="1111"/>
      <c r="H407" s="109"/>
      <c r="I407" s="109"/>
      <c r="J407" s="109"/>
      <c r="K407" s="109"/>
      <c r="L407" s="109"/>
      <c r="M407" s="1112"/>
      <c r="O407" s="1108"/>
      <c r="P407" s="121"/>
      <c r="Q407" s="121"/>
      <c r="R407" s="121"/>
    </row>
    <row r="408" spans="2:18">
      <c r="B408" s="106"/>
      <c r="C408" s="477"/>
      <c r="D408" s="106"/>
      <c r="E408" s="109"/>
      <c r="F408" s="476"/>
      <c r="G408" s="1111"/>
      <c r="H408" s="109"/>
      <c r="I408" s="109"/>
      <c r="J408" s="109"/>
      <c r="K408" s="109"/>
      <c r="L408" s="109"/>
      <c r="M408" s="1112"/>
      <c r="O408" s="1108"/>
      <c r="P408" s="121"/>
      <c r="Q408" s="121"/>
      <c r="R408" s="121"/>
    </row>
    <row r="409" spans="2:18">
      <c r="B409" s="106"/>
      <c r="C409" s="477"/>
      <c r="D409" s="106"/>
      <c r="E409" s="109"/>
      <c r="F409" s="476"/>
      <c r="G409" s="1111"/>
      <c r="H409" s="109"/>
      <c r="I409" s="109"/>
      <c r="J409" s="109"/>
      <c r="K409" s="109"/>
      <c r="L409" s="109"/>
      <c r="M409" s="1112"/>
      <c r="O409" s="1108"/>
      <c r="P409" s="121"/>
      <c r="Q409" s="121"/>
      <c r="R409" s="121"/>
    </row>
    <row r="410" spans="2:18">
      <c r="B410" s="106"/>
      <c r="C410" s="477"/>
      <c r="D410" s="106"/>
      <c r="E410" s="109"/>
      <c r="F410" s="476"/>
      <c r="G410" s="1111"/>
      <c r="H410" s="109"/>
      <c r="I410" s="109"/>
      <c r="J410" s="109"/>
      <c r="K410" s="109"/>
      <c r="L410" s="109"/>
      <c r="M410" s="1112"/>
      <c r="O410" s="1108"/>
      <c r="P410" s="121"/>
      <c r="Q410" s="121"/>
      <c r="R410" s="121"/>
    </row>
    <row r="411" spans="2:18">
      <c r="B411" s="106"/>
      <c r="C411" s="477"/>
      <c r="D411" s="106"/>
      <c r="E411" s="109"/>
      <c r="F411" s="476"/>
      <c r="G411" s="1111"/>
      <c r="H411" s="109"/>
      <c r="I411" s="109"/>
      <c r="J411" s="109"/>
      <c r="K411" s="109"/>
      <c r="L411" s="109"/>
      <c r="M411" s="1112"/>
      <c r="O411" s="1108"/>
      <c r="P411" s="121"/>
      <c r="Q411" s="121"/>
      <c r="R411" s="121"/>
    </row>
    <row r="412" spans="2:18">
      <c r="B412" s="106"/>
      <c r="C412" s="477"/>
      <c r="D412" s="106"/>
      <c r="E412" s="109"/>
      <c r="F412" s="476"/>
      <c r="G412" s="1111"/>
      <c r="H412" s="109"/>
      <c r="I412" s="109"/>
      <c r="J412" s="109"/>
      <c r="K412" s="109"/>
      <c r="L412" s="109"/>
      <c r="M412" s="1112"/>
      <c r="O412" s="1108"/>
      <c r="P412" s="121"/>
      <c r="Q412" s="121"/>
      <c r="R412" s="121"/>
    </row>
    <row r="413" spans="2:18">
      <c r="B413" s="106"/>
      <c r="C413" s="477"/>
      <c r="D413" s="106"/>
      <c r="E413" s="109"/>
      <c r="F413" s="476"/>
      <c r="G413" s="1111"/>
      <c r="H413" s="109"/>
      <c r="I413" s="109"/>
      <c r="J413" s="109"/>
      <c r="K413" s="109"/>
      <c r="L413" s="109"/>
      <c r="M413" s="1112"/>
      <c r="O413" s="1108"/>
      <c r="P413" s="121"/>
      <c r="Q413" s="121"/>
      <c r="R413" s="121"/>
    </row>
    <row r="414" spans="2:18">
      <c r="B414" s="106"/>
      <c r="C414" s="477"/>
      <c r="D414" s="106"/>
      <c r="E414" s="109"/>
      <c r="F414" s="476"/>
      <c r="G414" s="1111"/>
      <c r="H414" s="109"/>
      <c r="I414" s="109"/>
      <c r="J414" s="109"/>
      <c r="K414" s="109"/>
      <c r="L414" s="109"/>
      <c r="M414" s="1112"/>
      <c r="O414" s="1108"/>
      <c r="P414" s="121"/>
      <c r="Q414" s="121"/>
      <c r="R414" s="121"/>
    </row>
    <row r="415" spans="2:18">
      <c r="B415" s="106"/>
      <c r="C415" s="477"/>
      <c r="D415" s="106"/>
      <c r="E415" s="109"/>
      <c r="F415" s="476"/>
      <c r="G415" s="1111"/>
      <c r="H415" s="109"/>
      <c r="I415" s="109"/>
      <c r="J415" s="109"/>
      <c r="K415" s="109"/>
      <c r="L415" s="109"/>
      <c r="M415" s="1112"/>
      <c r="O415" s="1108"/>
      <c r="P415" s="121"/>
      <c r="Q415" s="121"/>
      <c r="R415" s="121"/>
    </row>
    <row r="416" spans="2:18">
      <c r="B416" s="106"/>
      <c r="C416" s="477"/>
      <c r="D416" s="106"/>
      <c r="E416" s="109"/>
      <c r="F416" s="476"/>
      <c r="G416" s="1111"/>
      <c r="H416" s="109"/>
      <c r="I416" s="109"/>
      <c r="J416" s="109"/>
      <c r="K416" s="109"/>
      <c r="L416" s="109"/>
      <c r="M416" s="1112"/>
      <c r="O416" s="1108"/>
      <c r="P416" s="121"/>
      <c r="Q416" s="121"/>
      <c r="R416" s="121"/>
    </row>
    <row r="417" spans="2:18">
      <c r="B417" s="106"/>
      <c r="C417" s="477"/>
      <c r="D417" s="106"/>
      <c r="E417" s="109"/>
      <c r="F417" s="476"/>
      <c r="G417" s="1111"/>
      <c r="H417" s="109"/>
      <c r="I417" s="109"/>
      <c r="J417" s="109"/>
      <c r="K417" s="109"/>
      <c r="L417" s="109"/>
      <c r="M417" s="1112"/>
      <c r="O417" s="1108"/>
      <c r="P417" s="121"/>
      <c r="Q417" s="121"/>
      <c r="R417" s="121"/>
    </row>
    <row r="418" spans="2:18">
      <c r="B418" s="106"/>
      <c r="C418" s="477"/>
      <c r="D418" s="106"/>
      <c r="E418" s="109"/>
      <c r="F418" s="476"/>
      <c r="G418" s="1111"/>
      <c r="H418" s="109"/>
      <c r="I418" s="109"/>
      <c r="J418" s="109"/>
      <c r="K418" s="109"/>
      <c r="L418" s="109"/>
      <c r="M418" s="1112"/>
      <c r="O418" s="1108"/>
      <c r="P418" s="121"/>
      <c r="Q418" s="121"/>
      <c r="R418" s="121"/>
    </row>
    <row r="419" spans="2:18">
      <c r="B419" s="106"/>
      <c r="C419" s="477"/>
      <c r="D419" s="106"/>
      <c r="E419" s="109"/>
      <c r="F419" s="476"/>
      <c r="G419" s="1111"/>
      <c r="H419" s="109"/>
      <c r="I419" s="109"/>
      <c r="J419" s="109"/>
      <c r="K419" s="109"/>
      <c r="L419" s="109"/>
      <c r="M419" s="1112"/>
      <c r="O419" s="1108"/>
      <c r="P419" s="121"/>
      <c r="Q419" s="121"/>
      <c r="R419" s="121"/>
    </row>
    <row r="420" spans="2:18">
      <c r="B420" s="106"/>
      <c r="C420" s="477"/>
      <c r="D420" s="106"/>
      <c r="E420" s="109"/>
      <c r="F420" s="476"/>
      <c r="G420" s="1111"/>
      <c r="H420" s="109"/>
      <c r="I420" s="109"/>
      <c r="J420" s="109"/>
      <c r="K420" s="109"/>
      <c r="L420" s="109"/>
      <c r="M420" s="1112"/>
      <c r="O420" s="1108"/>
      <c r="P420" s="121"/>
      <c r="Q420" s="121"/>
      <c r="R420" s="121"/>
    </row>
    <row r="421" spans="2:18">
      <c r="B421" s="106"/>
      <c r="C421" s="477"/>
      <c r="D421" s="106"/>
      <c r="E421" s="109"/>
      <c r="F421" s="476"/>
      <c r="G421" s="1111"/>
      <c r="H421" s="109"/>
      <c r="I421" s="109"/>
      <c r="J421" s="109"/>
      <c r="K421" s="109"/>
      <c r="L421" s="109"/>
      <c r="M421" s="1112"/>
      <c r="O421" s="1108"/>
      <c r="P421" s="121"/>
      <c r="Q421" s="121"/>
      <c r="R421" s="121"/>
    </row>
    <row r="422" spans="2:18">
      <c r="B422" s="106"/>
      <c r="C422" s="477"/>
      <c r="D422" s="106"/>
      <c r="E422" s="109"/>
      <c r="F422" s="476"/>
      <c r="G422" s="1111"/>
      <c r="H422" s="109"/>
      <c r="I422" s="109"/>
      <c r="J422" s="109"/>
      <c r="K422" s="109"/>
      <c r="L422" s="109"/>
      <c r="M422" s="1112"/>
      <c r="O422" s="1108"/>
      <c r="P422" s="121"/>
      <c r="Q422" s="121"/>
      <c r="R422" s="121"/>
    </row>
    <row r="423" spans="2:18">
      <c r="B423" s="106"/>
      <c r="C423" s="477"/>
      <c r="D423" s="106"/>
      <c r="E423" s="109"/>
      <c r="F423" s="476"/>
      <c r="G423" s="1111"/>
      <c r="H423" s="109"/>
      <c r="I423" s="109"/>
      <c r="J423" s="109"/>
      <c r="K423" s="109"/>
      <c r="L423" s="109"/>
      <c r="M423" s="1112"/>
      <c r="O423" s="1108"/>
      <c r="P423" s="121"/>
      <c r="Q423" s="121"/>
      <c r="R423" s="121"/>
    </row>
    <row r="424" spans="2:18">
      <c r="B424" s="106"/>
      <c r="C424" s="477"/>
      <c r="D424" s="106"/>
      <c r="E424" s="109"/>
      <c r="F424" s="476"/>
      <c r="G424" s="1111"/>
      <c r="H424" s="109"/>
      <c r="I424" s="109"/>
      <c r="J424" s="109"/>
      <c r="K424" s="109"/>
      <c r="L424" s="109"/>
      <c r="M424" s="1112"/>
      <c r="O424" s="1108"/>
      <c r="P424" s="121"/>
      <c r="Q424" s="121"/>
      <c r="R424" s="121"/>
    </row>
    <row r="425" spans="2:18">
      <c r="B425" s="106"/>
      <c r="C425" s="477"/>
      <c r="D425" s="106"/>
      <c r="E425" s="109"/>
      <c r="F425" s="476"/>
      <c r="G425" s="1111"/>
      <c r="H425" s="109"/>
      <c r="I425" s="109"/>
      <c r="J425" s="109"/>
      <c r="K425" s="109"/>
      <c r="L425" s="109"/>
      <c r="M425" s="1112"/>
      <c r="O425" s="1108"/>
      <c r="P425" s="121"/>
      <c r="Q425" s="121"/>
      <c r="R425" s="121"/>
    </row>
    <row r="426" spans="2:18">
      <c r="B426" s="106"/>
      <c r="C426" s="477"/>
      <c r="D426" s="106"/>
      <c r="E426" s="109"/>
      <c r="F426" s="476"/>
      <c r="G426" s="1111"/>
      <c r="H426" s="109"/>
      <c r="I426" s="109"/>
      <c r="J426" s="109"/>
      <c r="K426" s="109"/>
      <c r="L426" s="109"/>
      <c r="M426" s="1112"/>
      <c r="O426" s="1108"/>
      <c r="P426" s="121"/>
      <c r="Q426" s="121"/>
      <c r="R426" s="121"/>
    </row>
    <row r="427" spans="2:18">
      <c r="B427" s="106"/>
      <c r="C427" s="477"/>
      <c r="D427" s="106"/>
      <c r="E427" s="109"/>
      <c r="F427" s="476"/>
      <c r="G427" s="1111"/>
      <c r="H427" s="109"/>
      <c r="I427" s="109"/>
      <c r="J427" s="109"/>
      <c r="K427" s="109"/>
      <c r="L427" s="109"/>
      <c r="M427" s="1112"/>
      <c r="O427" s="1108"/>
      <c r="P427" s="121"/>
      <c r="Q427" s="121"/>
      <c r="R427" s="121"/>
    </row>
    <row r="428" spans="2:18">
      <c r="B428" s="106"/>
      <c r="C428" s="477"/>
      <c r="D428" s="106"/>
      <c r="E428" s="109"/>
      <c r="F428" s="476"/>
      <c r="G428" s="1111"/>
      <c r="H428" s="109"/>
      <c r="I428" s="109"/>
      <c r="J428" s="109"/>
      <c r="K428" s="109"/>
      <c r="L428" s="109"/>
      <c r="M428" s="1112"/>
      <c r="O428" s="1108"/>
      <c r="P428" s="121"/>
      <c r="Q428" s="121"/>
      <c r="R428" s="121"/>
    </row>
    <row r="429" spans="2:18">
      <c r="B429" s="106"/>
      <c r="C429" s="477"/>
      <c r="D429" s="106"/>
      <c r="E429" s="109"/>
      <c r="F429" s="476"/>
      <c r="G429" s="1111"/>
      <c r="H429" s="109"/>
      <c r="I429" s="109"/>
      <c r="J429" s="109"/>
      <c r="K429" s="109"/>
      <c r="L429" s="109"/>
      <c r="M429" s="1112"/>
      <c r="O429" s="1108"/>
      <c r="P429" s="121"/>
      <c r="Q429" s="121"/>
      <c r="R429" s="121"/>
    </row>
    <row r="430" spans="2:18">
      <c r="B430" s="106"/>
      <c r="C430" s="477"/>
      <c r="D430" s="106"/>
      <c r="E430" s="109"/>
      <c r="F430" s="476"/>
      <c r="G430" s="1111"/>
      <c r="H430" s="109"/>
      <c r="I430" s="109"/>
      <c r="J430" s="109"/>
      <c r="K430" s="109"/>
      <c r="L430" s="109"/>
      <c r="M430" s="1112"/>
      <c r="O430" s="1108"/>
      <c r="P430" s="121"/>
      <c r="Q430" s="121"/>
      <c r="R430" s="121"/>
    </row>
    <row r="431" spans="2:18">
      <c r="B431" s="106"/>
      <c r="C431" s="477"/>
      <c r="D431" s="106"/>
      <c r="E431" s="109"/>
      <c r="F431" s="476"/>
      <c r="G431" s="1111"/>
      <c r="H431" s="109"/>
      <c r="I431" s="109"/>
      <c r="J431" s="109"/>
      <c r="K431" s="109"/>
      <c r="L431" s="109"/>
      <c r="M431" s="1112"/>
      <c r="O431" s="1108"/>
      <c r="P431" s="121"/>
      <c r="Q431" s="121"/>
      <c r="R431" s="121"/>
    </row>
    <row r="432" spans="2:18">
      <c r="B432" s="106"/>
      <c r="C432" s="477"/>
      <c r="D432" s="106"/>
      <c r="E432" s="109"/>
      <c r="F432" s="476"/>
      <c r="G432" s="1111"/>
      <c r="H432" s="109"/>
      <c r="I432" s="109"/>
      <c r="J432" s="109"/>
      <c r="K432" s="109"/>
      <c r="L432" s="109"/>
      <c r="M432" s="1112"/>
      <c r="O432" s="1108"/>
      <c r="P432" s="121"/>
      <c r="Q432" s="121"/>
      <c r="R432" s="121"/>
    </row>
    <row r="433" spans="2:18">
      <c r="B433" s="106"/>
      <c r="C433" s="477"/>
      <c r="D433" s="106"/>
      <c r="E433" s="109"/>
      <c r="F433" s="476"/>
      <c r="G433" s="1111"/>
      <c r="H433" s="109"/>
      <c r="I433" s="109"/>
      <c r="J433" s="109"/>
      <c r="K433" s="109"/>
      <c r="L433" s="109"/>
      <c r="M433" s="1112"/>
      <c r="O433" s="1108"/>
      <c r="P433" s="121"/>
      <c r="Q433" s="121"/>
      <c r="R433" s="121"/>
    </row>
    <row r="434" spans="2:18">
      <c r="B434" s="106"/>
      <c r="C434" s="477"/>
      <c r="D434" s="106"/>
      <c r="E434" s="109"/>
      <c r="F434" s="476"/>
      <c r="G434" s="1111"/>
      <c r="H434" s="109"/>
      <c r="I434" s="109"/>
      <c r="J434" s="109"/>
      <c r="K434" s="109"/>
      <c r="L434" s="109"/>
      <c r="M434" s="1112"/>
      <c r="O434" s="1108"/>
      <c r="P434" s="121"/>
      <c r="Q434" s="121"/>
      <c r="R434" s="121"/>
    </row>
    <row r="435" spans="2:18">
      <c r="B435" s="106"/>
      <c r="C435" s="477"/>
      <c r="D435" s="106"/>
      <c r="E435" s="109"/>
      <c r="F435" s="476"/>
      <c r="G435" s="1111"/>
      <c r="H435" s="109"/>
      <c r="I435" s="109"/>
      <c r="J435" s="109"/>
      <c r="K435" s="109"/>
      <c r="L435" s="109"/>
      <c r="M435" s="1112"/>
      <c r="O435" s="1108"/>
      <c r="P435" s="121"/>
      <c r="Q435" s="121"/>
      <c r="R435" s="121"/>
    </row>
    <row r="436" spans="2:18">
      <c r="B436" s="106"/>
      <c r="C436" s="477"/>
      <c r="D436" s="106"/>
      <c r="E436" s="109"/>
      <c r="F436" s="476"/>
      <c r="G436" s="1111"/>
      <c r="H436" s="109"/>
      <c r="I436" s="109"/>
      <c r="J436" s="109"/>
      <c r="K436" s="109"/>
      <c r="L436" s="109"/>
      <c r="M436" s="1112"/>
      <c r="O436" s="1108"/>
      <c r="P436" s="121"/>
      <c r="Q436" s="121"/>
      <c r="R436" s="121"/>
    </row>
    <row r="437" spans="2:18">
      <c r="B437" s="106"/>
      <c r="C437" s="477"/>
      <c r="D437" s="106"/>
      <c r="E437" s="109"/>
      <c r="F437" s="476"/>
      <c r="G437" s="1111"/>
      <c r="H437" s="109"/>
      <c r="I437" s="109"/>
      <c r="J437" s="109"/>
      <c r="K437" s="109"/>
      <c r="L437" s="109"/>
      <c r="M437" s="1112"/>
      <c r="O437" s="1108"/>
      <c r="P437" s="121"/>
      <c r="Q437" s="121"/>
      <c r="R437" s="121"/>
    </row>
    <row r="438" spans="2:18">
      <c r="B438" s="106"/>
      <c r="C438" s="477"/>
      <c r="D438" s="106"/>
      <c r="E438" s="109"/>
      <c r="F438" s="476"/>
      <c r="G438" s="1111"/>
      <c r="H438" s="109"/>
      <c r="I438" s="109"/>
      <c r="J438" s="109"/>
      <c r="K438" s="109"/>
      <c r="L438" s="109"/>
      <c r="M438" s="1112"/>
      <c r="O438" s="1108"/>
      <c r="P438" s="121"/>
      <c r="Q438" s="121"/>
      <c r="R438" s="121"/>
    </row>
    <row r="439" spans="2:18">
      <c r="B439" s="106"/>
      <c r="C439" s="477"/>
      <c r="D439" s="106"/>
      <c r="E439" s="109"/>
      <c r="F439" s="476"/>
      <c r="G439" s="1111"/>
      <c r="H439" s="109"/>
      <c r="I439" s="109"/>
      <c r="J439" s="109"/>
      <c r="K439" s="109"/>
      <c r="L439" s="109"/>
      <c r="M439" s="1112"/>
      <c r="O439" s="1108"/>
      <c r="P439" s="121"/>
      <c r="Q439" s="121"/>
      <c r="R439" s="121"/>
    </row>
    <row r="440" spans="2:18">
      <c r="B440" s="106"/>
      <c r="C440" s="477"/>
      <c r="D440" s="106"/>
      <c r="E440" s="109"/>
      <c r="F440" s="476"/>
      <c r="G440" s="1111"/>
      <c r="H440" s="109"/>
      <c r="I440" s="109"/>
      <c r="J440" s="109"/>
      <c r="K440" s="109"/>
      <c r="L440" s="109"/>
      <c r="M440" s="1112"/>
      <c r="O440" s="1108"/>
      <c r="P440" s="121"/>
      <c r="Q440" s="121"/>
      <c r="R440" s="121"/>
    </row>
    <row r="441" spans="2:18">
      <c r="B441" s="106"/>
      <c r="C441" s="477"/>
      <c r="D441" s="106"/>
      <c r="E441" s="109"/>
      <c r="F441" s="476"/>
      <c r="G441" s="1111"/>
      <c r="H441" s="109"/>
      <c r="I441" s="109"/>
      <c r="J441" s="109"/>
      <c r="K441" s="109"/>
      <c r="L441" s="109"/>
      <c r="M441" s="1112"/>
      <c r="O441" s="1108"/>
      <c r="P441" s="121"/>
      <c r="Q441" s="121"/>
      <c r="R441" s="121"/>
    </row>
    <row r="442" spans="2:18">
      <c r="B442" s="106"/>
      <c r="C442" s="477"/>
      <c r="D442" s="106"/>
      <c r="E442" s="109"/>
      <c r="F442" s="476"/>
      <c r="G442" s="1111"/>
      <c r="H442" s="109"/>
      <c r="I442" s="109"/>
      <c r="J442" s="109"/>
      <c r="K442" s="109"/>
      <c r="L442" s="109"/>
      <c r="M442" s="1112"/>
      <c r="O442" s="1108"/>
      <c r="P442" s="121"/>
      <c r="Q442" s="121"/>
      <c r="R442" s="121"/>
    </row>
    <row r="443" spans="2:18">
      <c r="B443" s="106"/>
      <c r="C443" s="477"/>
      <c r="D443" s="106"/>
      <c r="E443" s="109"/>
      <c r="F443" s="476"/>
      <c r="G443" s="1111"/>
      <c r="H443" s="109"/>
      <c r="I443" s="109"/>
      <c r="J443" s="109"/>
      <c r="K443" s="109"/>
      <c r="L443" s="109"/>
      <c r="M443" s="1112"/>
      <c r="O443" s="1108"/>
      <c r="P443" s="121"/>
      <c r="Q443" s="121"/>
      <c r="R443" s="121"/>
    </row>
    <row r="444" spans="2:18">
      <c r="B444" s="106"/>
      <c r="C444" s="477"/>
      <c r="D444" s="106"/>
      <c r="E444" s="109"/>
      <c r="F444" s="476"/>
      <c r="G444" s="1111"/>
      <c r="H444" s="109"/>
      <c r="I444" s="109"/>
      <c r="J444" s="109"/>
      <c r="K444" s="109"/>
      <c r="L444" s="109"/>
      <c r="M444" s="1112"/>
      <c r="O444" s="1108"/>
      <c r="P444" s="121"/>
      <c r="Q444" s="121"/>
      <c r="R444" s="121"/>
    </row>
    <row r="445" spans="2:18">
      <c r="B445" s="106"/>
      <c r="C445" s="477"/>
      <c r="D445" s="106"/>
      <c r="E445" s="109"/>
      <c r="F445" s="476"/>
      <c r="G445" s="1111"/>
      <c r="H445" s="109"/>
      <c r="I445" s="109"/>
      <c r="J445" s="109"/>
      <c r="K445" s="109"/>
      <c r="L445" s="109"/>
      <c r="M445" s="1112"/>
      <c r="O445" s="1108"/>
      <c r="P445" s="121"/>
      <c r="Q445" s="121"/>
      <c r="R445" s="121"/>
    </row>
    <row r="446" spans="2:18">
      <c r="B446" s="106"/>
      <c r="C446" s="477"/>
      <c r="D446" s="106"/>
      <c r="E446" s="109"/>
      <c r="F446" s="476"/>
      <c r="G446" s="1111"/>
      <c r="H446" s="109"/>
      <c r="I446" s="109"/>
      <c r="J446" s="109"/>
      <c r="K446" s="109"/>
      <c r="L446" s="109"/>
      <c r="M446" s="1112"/>
      <c r="O446" s="1108"/>
      <c r="P446" s="121"/>
      <c r="Q446" s="121"/>
      <c r="R446" s="121"/>
    </row>
    <row r="447" spans="2:18">
      <c r="B447" s="106"/>
      <c r="C447" s="477"/>
      <c r="D447" s="106"/>
      <c r="E447" s="109"/>
      <c r="F447" s="476"/>
      <c r="G447" s="1111"/>
      <c r="H447" s="109"/>
      <c r="I447" s="109"/>
      <c r="J447" s="109"/>
      <c r="K447" s="109"/>
      <c r="L447" s="109"/>
      <c r="M447" s="1112"/>
      <c r="O447" s="1108"/>
      <c r="P447" s="121"/>
      <c r="Q447" s="121"/>
      <c r="R447" s="121"/>
    </row>
    <row r="448" spans="2:18">
      <c r="B448" s="106"/>
      <c r="C448" s="477"/>
      <c r="D448" s="106"/>
      <c r="E448" s="109"/>
      <c r="F448" s="476"/>
      <c r="G448" s="1111"/>
      <c r="H448" s="109"/>
      <c r="I448" s="109"/>
      <c r="J448" s="109"/>
      <c r="K448" s="109"/>
      <c r="L448" s="109"/>
      <c r="M448" s="1112"/>
      <c r="O448" s="1108"/>
      <c r="P448" s="121"/>
      <c r="Q448" s="121"/>
      <c r="R448" s="121"/>
    </row>
    <row r="449" spans="2:18">
      <c r="B449" s="106"/>
      <c r="C449" s="477"/>
      <c r="D449" s="106"/>
      <c r="E449" s="109"/>
      <c r="F449" s="476"/>
      <c r="G449" s="1111"/>
      <c r="H449" s="109"/>
      <c r="I449" s="109"/>
      <c r="J449" s="109"/>
      <c r="K449" s="109"/>
      <c r="L449" s="109"/>
      <c r="M449" s="1112"/>
      <c r="O449" s="1108"/>
      <c r="P449" s="121"/>
      <c r="Q449" s="121"/>
      <c r="R449" s="121"/>
    </row>
    <row r="450" spans="2:18">
      <c r="B450" s="106"/>
      <c r="C450" s="477"/>
      <c r="D450" s="106"/>
      <c r="E450" s="109"/>
      <c r="F450" s="476"/>
      <c r="G450" s="1111"/>
      <c r="H450" s="109"/>
      <c r="I450" s="109"/>
      <c r="J450" s="109"/>
      <c r="K450" s="109"/>
      <c r="L450" s="109"/>
      <c r="M450" s="1112"/>
      <c r="O450" s="1108"/>
      <c r="P450" s="121"/>
      <c r="Q450" s="121"/>
      <c r="R450" s="121"/>
    </row>
    <row r="451" spans="2:18">
      <c r="B451" s="106"/>
      <c r="C451" s="477"/>
      <c r="D451" s="106"/>
      <c r="E451" s="109"/>
      <c r="F451" s="476"/>
      <c r="G451" s="1111"/>
      <c r="H451" s="109"/>
      <c r="I451" s="109"/>
      <c r="J451" s="109"/>
      <c r="K451" s="109"/>
      <c r="L451" s="109"/>
      <c r="M451" s="1112"/>
      <c r="O451" s="1108"/>
      <c r="P451" s="121"/>
      <c r="Q451" s="121"/>
      <c r="R451" s="121"/>
    </row>
    <row r="452" spans="2:18">
      <c r="B452" s="106"/>
      <c r="C452" s="477"/>
      <c r="D452" s="106"/>
      <c r="E452" s="109"/>
      <c r="F452" s="476"/>
      <c r="G452" s="1111"/>
      <c r="H452" s="109"/>
      <c r="I452" s="109"/>
      <c r="J452" s="109"/>
      <c r="K452" s="109"/>
      <c r="L452" s="109"/>
      <c r="M452" s="1112"/>
      <c r="O452" s="1108"/>
      <c r="P452" s="121"/>
      <c r="Q452" s="121"/>
      <c r="R452" s="121"/>
    </row>
    <row r="453" spans="2:18">
      <c r="B453" s="106"/>
      <c r="C453" s="477"/>
      <c r="D453" s="106"/>
      <c r="E453" s="109"/>
      <c r="F453" s="476"/>
      <c r="G453" s="1111"/>
      <c r="H453" s="109"/>
      <c r="I453" s="109"/>
      <c r="J453" s="109"/>
      <c r="K453" s="109"/>
      <c r="L453" s="109"/>
      <c r="M453" s="1112"/>
      <c r="O453" s="1108"/>
      <c r="P453" s="121"/>
      <c r="Q453" s="121"/>
      <c r="R453" s="121"/>
    </row>
    <row r="454" spans="2:18">
      <c r="B454" s="106"/>
      <c r="C454" s="477"/>
      <c r="D454" s="106"/>
      <c r="E454" s="109"/>
      <c r="F454" s="476"/>
      <c r="G454" s="1111"/>
      <c r="H454" s="109"/>
      <c r="I454" s="109"/>
      <c r="J454" s="109"/>
      <c r="K454" s="109"/>
      <c r="L454" s="109"/>
      <c r="M454" s="1112"/>
      <c r="O454" s="1108"/>
      <c r="P454" s="121"/>
      <c r="Q454" s="121"/>
      <c r="R454" s="121"/>
    </row>
    <row r="455" spans="2:18">
      <c r="B455" s="106"/>
      <c r="C455" s="477"/>
      <c r="D455" s="106"/>
      <c r="E455" s="109"/>
      <c r="F455" s="476"/>
      <c r="G455" s="1111"/>
      <c r="H455" s="109"/>
      <c r="I455" s="109"/>
      <c r="J455" s="109"/>
      <c r="K455" s="109"/>
      <c r="L455" s="109"/>
      <c r="M455" s="1112"/>
      <c r="O455" s="1108"/>
      <c r="P455" s="121"/>
      <c r="Q455" s="121"/>
      <c r="R455" s="121"/>
    </row>
    <row r="456" spans="2:18">
      <c r="B456" s="106"/>
      <c r="C456" s="477"/>
      <c r="D456" s="106"/>
      <c r="E456" s="109"/>
      <c r="F456" s="476"/>
      <c r="G456" s="1111"/>
      <c r="H456" s="109"/>
      <c r="I456" s="109"/>
      <c r="J456" s="109"/>
      <c r="K456" s="109"/>
      <c r="L456" s="109"/>
      <c r="M456" s="1112"/>
      <c r="O456" s="1108"/>
      <c r="P456" s="121"/>
      <c r="Q456" s="121"/>
      <c r="R456" s="121"/>
    </row>
    <row r="457" spans="2:18">
      <c r="B457" s="106"/>
      <c r="C457" s="477"/>
      <c r="D457" s="106"/>
      <c r="E457" s="109"/>
      <c r="F457" s="476"/>
      <c r="G457" s="1111"/>
      <c r="H457" s="109"/>
      <c r="I457" s="109"/>
      <c r="J457" s="109"/>
      <c r="K457" s="109"/>
      <c r="L457" s="109"/>
      <c r="M457" s="1112"/>
      <c r="O457" s="1108"/>
      <c r="P457" s="121"/>
      <c r="Q457" s="121"/>
      <c r="R457" s="121"/>
    </row>
    <row r="458" spans="2:18">
      <c r="B458" s="106"/>
      <c r="C458" s="477"/>
      <c r="D458" s="106"/>
      <c r="E458" s="109"/>
      <c r="F458" s="476"/>
      <c r="G458" s="1111"/>
      <c r="H458" s="109"/>
      <c r="I458" s="109"/>
      <c r="J458" s="109"/>
      <c r="K458" s="109"/>
      <c r="L458" s="109"/>
      <c r="M458" s="1112"/>
      <c r="O458" s="1108"/>
      <c r="P458" s="121"/>
      <c r="Q458" s="121"/>
      <c r="R458" s="121"/>
    </row>
    <row r="459" spans="2:18">
      <c r="B459" s="106"/>
      <c r="C459" s="477"/>
      <c r="D459" s="106"/>
      <c r="E459" s="109"/>
      <c r="F459" s="476"/>
      <c r="G459" s="1111"/>
      <c r="H459" s="109"/>
      <c r="I459" s="109"/>
      <c r="J459" s="109"/>
      <c r="K459" s="109"/>
      <c r="L459" s="109"/>
      <c r="M459" s="1112"/>
      <c r="O459" s="1108"/>
      <c r="P459" s="121"/>
      <c r="Q459" s="121"/>
      <c r="R459" s="121"/>
    </row>
    <row r="460" spans="2:18">
      <c r="B460" s="106"/>
      <c r="C460" s="477"/>
      <c r="D460" s="106"/>
      <c r="E460" s="109"/>
      <c r="F460" s="476"/>
      <c r="G460" s="1111"/>
      <c r="H460" s="109"/>
      <c r="I460" s="109"/>
      <c r="J460" s="109"/>
      <c r="K460" s="109"/>
      <c r="L460" s="109"/>
      <c r="M460" s="1112"/>
      <c r="O460" s="1108"/>
      <c r="P460" s="121"/>
      <c r="Q460" s="121"/>
      <c r="R460" s="121"/>
    </row>
    <row r="461" spans="2:18">
      <c r="B461" s="106"/>
      <c r="C461" s="477"/>
      <c r="D461" s="106"/>
      <c r="E461" s="109"/>
      <c r="F461" s="476"/>
      <c r="G461" s="1111"/>
      <c r="H461" s="109"/>
      <c r="I461" s="109"/>
      <c r="J461" s="109"/>
      <c r="K461" s="109"/>
      <c r="L461" s="109"/>
      <c r="M461" s="1112"/>
      <c r="O461" s="1108"/>
      <c r="P461" s="121"/>
      <c r="Q461" s="121"/>
      <c r="R461" s="121"/>
    </row>
    <row r="462" spans="2:18">
      <c r="B462" s="106"/>
      <c r="C462" s="477"/>
      <c r="D462" s="106"/>
      <c r="E462" s="109"/>
      <c r="F462" s="476"/>
      <c r="G462" s="1111"/>
      <c r="H462" s="109"/>
      <c r="I462" s="109"/>
      <c r="J462" s="109"/>
      <c r="K462" s="109"/>
      <c r="L462" s="109"/>
      <c r="M462" s="1112"/>
      <c r="O462" s="1108"/>
      <c r="P462" s="121"/>
      <c r="Q462" s="121"/>
      <c r="R462" s="121"/>
    </row>
    <row r="463" spans="2:18">
      <c r="B463" s="106"/>
      <c r="C463" s="477"/>
      <c r="D463" s="106"/>
      <c r="E463" s="109"/>
      <c r="F463" s="476"/>
      <c r="G463" s="1111"/>
      <c r="H463" s="109"/>
      <c r="I463" s="109"/>
      <c r="J463" s="109"/>
      <c r="K463" s="109"/>
      <c r="L463" s="109"/>
      <c r="M463" s="1112"/>
      <c r="O463" s="1108"/>
      <c r="P463" s="121"/>
      <c r="Q463" s="121"/>
      <c r="R463" s="121"/>
    </row>
    <row r="464" spans="2:18">
      <c r="B464" s="106"/>
      <c r="C464" s="477"/>
      <c r="D464" s="106"/>
      <c r="E464" s="109"/>
      <c r="F464" s="476"/>
      <c r="G464" s="1111"/>
      <c r="H464" s="109"/>
      <c r="I464" s="109"/>
      <c r="J464" s="109"/>
      <c r="K464" s="109"/>
      <c r="L464" s="109"/>
      <c r="M464" s="1112"/>
      <c r="O464" s="1108"/>
      <c r="P464" s="121"/>
      <c r="Q464" s="121"/>
      <c r="R464" s="121"/>
    </row>
    <row r="465" spans="2:18">
      <c r="B465" s="106"/>
      <c r="C465" s="477"/>
      <c r="D465" s="106"/>
      <c r="E465" s="109"/>
      <c r="F465" s="476"/>
      <c r="G465" s="1111"/>
      <c r="H465" s="109"/>
      <c r="I465" s="109"/>
      <c r="J465" s="109"/>
      <c r="K465" s="109"/>
      <c r="L465" s="109"/>
      <c r="M465" s="1112"/>
      <c r="O465" s="1108"/>
      <c r="P465" s="121"/>
      <c r="Q465" s="121"/>
      <c r="R465" s="121"/>
    </row>
    <row r="466" spans="2:18">
      <c r="B466" s="106"/>
      <c r="C466" s="477"/>
      <c r="D466" s="106"/>
      <c r="E466" s="109"/>
      <c r="F466" s="476"/>
      <c r="G466" s="1111"/>
      <c r="H466" s="109"/>
      <c r="I466" s="109"/>
      <c r="J466" s="109"/>
      <c r="K466" s="109"/>
      <c r="L466" s="109"/>
      <c r="M466" s="1112"/>
      <c r="O466" s="1108"/>
      <c r="P466" s="121"/>
      <c r="Q466" s="121"/>
      <c r="R466" s="121"/>
    </row>
    <row r="467" spans="2:18">
      <c r="B467" s="106"/>
      <c r="C467" s="477"/>
      <c r="D467" s="106"/>
      <c r="E467" s="109"/>
      <c r="F467" s="476"/>
      <c r="G467" s="1111"/>
      <c r="H467" s="109"/>
      <c r="I467" s="109"/>
      <c r="J467" s="109"/>
      <c r="K467" s="109"/>
      <c r="L467" s="109"/>
      <c r="M467" s="1112"/>
      <c r="O467" s="1108"/>
      <c r="P467" s="121"/>
      <c r="Q467" s="121"/>
      <c r="R467" s="121"/>
    </row>
    <row r="468" spans="2:18">
      <c r="B468" s="106"/>
      <c r="C468" s="477"/>
      <c r="D468" s="106"/>
      <c r="E468" s="109"/>
      <c r="F468" s="476"/>
      <c r="G468" s="1111"/>
      <c r="H468" s="109"/>
      <c r="I468" s="109"/>
      <c r="J468" s="109"/>
      <c r="K468" s="109"/>
      <c r="L468" s="109"/>
      <c r="M468" s="1112"/>
      <c r="O468" s="1108"/>
      <c r="P468" s="121"/>
      <c r="Q468" s="121"/>
      <c r="R468" s="121"/>
    </row>
    <row r="469" spans="2:18">
      <c r="B469" s="106"/>
      <c r="C469" s="477"/>
      <c r="D469" s="106"/>
      <c r="E469" s="109"/>
      <c r="F469" s="476"/>
      <c r="G469" s="1111"/>
      <c r="H469" s="109"/>
      <c r="I469" s="109"/>
      <c r="J469" s="109"/>
      <c r="K469" s="109"/>
      <c r="L469" s="109"/>
      <c r="M469" s="1112"/>
      <c r="O469" s="1108"/>
      <c r="P469" s="121"/>
      <c r="Q469" s="121"/>
      <c r="R469" s="121"/>
    </row>
    <row r="470" spans="2:18">
      <c r="B470" s="106"/>
      <c r="C470" s="477"/>
      <c r="D470" s="106"/>
      <c r="E470" s="109"/>
      <c r="F470" s="476"/>
      <c r="G470" s="1111"/>
      <c r="H470" s="109"/>
      <c r="I470" s="109"/>
      <c r="J470" s="109"/>
      <c r="K470" s="109"/>
      <c r="L470" s="109"/>
      <c r="M470" s="1112"/>
      <c r="O470" s="1108"/>
      <c r="P470" s="121"/>
      <c r="Q470" s="121"/>
      <c r="R470" s="121"/>
    </row>
    <row r="471" spans="2:18">
      <c r="B471" s="106"/>
      <c r="C471" s="477"/>
      <c r="D471" s="106"/>
      <c r="E471" s="109"/>
      <c r="F471" s="476"/>
      <c r="G471" s="1111"/>
      <c r="H471" s="109"/>
      <c r="I471" s="109"/>
      <c r="J471" s="109"/>
      <c r="K471" s="109"/>
      <c r="L471" s="109"/>
      <c r="M471" s="1112"/>
      <c r="O471" s="1108"/>
      <c r="P471" s="121"/>
      <c r="Q471" s="121"/>
      <c r="R471" s="121"/>
    </row>
    <row r="472" spans="2:18">
      <c r="B472" s="106"/>
      <c r="C472" s="477"/>
      <c r="D472" s="106"/>
      <c r="E472" s="109"/>
      <c r="F472" s="476"/>
      <c r="G472" s="1111"/>
      <c r="H472" s="109"/>
      <c r="I472" s="109"/>
      <c r="J472" s="109"/>
      <c r="K472" s="109"/>
      <c r="L472" s="109"/>
      <c r="M472" s="1112"/>
      <c r="O472" s="1108"/>
      <c r="P472" s="121"/>
      <c r="Q472" s="121"/>
      <c r="R472" s="121"/>
    </row>
    <row r="473" spans="2:18">
      <c r="B473" s="106"/>
      <c r="C473" s="477"/>
      <c r="D473" s="106"/>
      <c r="E473" s="109"/>
      <c r="F473" s="476"/>
      <c r="G473" s="1111"/>
      <c r="H473" s="109"/>
      <c r="I473" s="109"/>
      <c r="J473" s="109"/>
      <c r="K473" s="109"/>
      <c r="L473" s="109"/>
      <c r="M473" s="1112"/>
      <c r="O473" s="1108"/>
      <c r="P473" s="121"/>
      <c r="Q473" s="121"/>
      <c r="R473" s="121"/>
    </row>
    <row r="474" spans="2:18">
      <c r="B474" s="106"/>
      <c r="C474" s="477"/>
      <c r="D474" s="106"/>
      <c r="E474" s="109"/>
      <c r="F474" s="476"/>
      <c r="G474" s="1111"/>
      <c r="H474" s="109"/>
      <c r="I474" s="109"/>
      <c r="J474" s="109"/>
      <c r="K474" s="109"/>
      <c r="L474" s="109"/>
      <c r="M474" s="1112"/>
      <c r="O474" s="1108"/>
      <c r="P474" s="121"/>
      <c r="Q474" s="121"/>
      <c r="R474" s="121"/>
    </row>
    <row r="475" spans="2:18">
      <c r="B475" s="106"/>
      <c r="C475" s="477"/>
      <c r="D475" s="106"/>
      <c r="E475" s="109"/>
      <c r="F475" s="476"/>
      <c r="G475" s="1111"/>
      <c r="H475" s="109"/>
      <c r="I475" s="109"/>
      <c r="J475" s="109"/>
      <c r="K475" s="109"/>
      <c r="L475" s="109"/>
      <c r="M475" s="1112"/>
      <c r="O475" s="1108"/>
      <c r="P475" s="121"/>
      <c r="Q475" s="121"/>
      <c r="R475" s="121"/>
    </row>
    <row r="476" spans="2:18">
      <c r="B476" s="106"/>
      <c r="C476" s="477"/>
      <c r="D476" s="106"/>
      <c r="E476" s="109"/>
      <c r="F476" s="476"/>
      <c r="G476" s="1111"/>
      <c r="H476" s="109"/>
      <c r="I476" s="109"/>
      <c r="J476" s="109"/>
      <c r="K476" s="109"/>
      <c r="L476" s="109"/>
      <c r="M476" s="1112"/>
      <c r="O476" s="1108"/>
      <c r="P476" s="121"/>
      <c r="Q476" s="121"/>
      <c r="R476" s="121"/>
    </row>
    <row r="477" spans="2:18">
      <c r="B477" s="106"/>
      <c r="C477" s="477"/>
      <c r="D477" s="106"/>
      <c r="E477" s="109"/>
      <c r="F477" s="476"/>
      <c r="G477" s="1111"/>
      <c r="H477" s="109"/>
      <c r="I477" s="109"/>
      <c r="J477" s="109"/>
      <c r="K477" s="109"/>
      <c r="L477" s="109"/>
      <c r="M477" s="1112"/>
      <c r="O477" s="1108"/>
      <c r="P477" s="121"/>
      <c r="Q477" s="121"/>
      <c r="R477" s="121"/>
    </row>
    <row r="478" spans="2:18">
      <c r="B478" s="106"/>
      <c r="C478" s="477"/>
      <c r="D478" s="106"/>
      <c r="E478" s="109"/>
      <c r="F478" s="476"/>
      <c r="G478" s="1111"/>
      <c r="H478" s="109"/>
      <c r="I478" s="109"/>
      <c r="J478" s="109"/>
      <c r="K478" s="109"/>
      <c r="L478" s="109"/>
      <c r="M478" s="1112"/>
      <c r="O478" s="1108"/>
      <c r="P478" s="121"/>
      <c r="Q478" s="121"/>
      <c r="R478" s="121"/>
    </row>
    <row r="479" spans="2:18">
      <c r="B479" s="106"/>
      <c r="C479" s="477"/>
      <c r="D479" s="106"/>
      <c r="E479" s="109"/>
      <c r="F479" s="476"/>
      <c r="G479" s="1111"/>
      <c r="H479" s="109"/>
      <c r="I479" s="109"/>
      <c r="J479" s="109"/>
      <c r="K479" s="109"/>
      <c r="L479" s="109"/>
      <c r="M479" s="1112"/>
      <c r="O479" s="1108"/>
      <c r="P479" s="121"/>
      <c r="Q479" s="121"/>
      <c r="R479" s="121"/>
    </row>
    <row r="480" spans="2:18">
      <c r="B480" s="106"/>
      <c r="C480" s="477"/>
      <c r="D480" s="106"/>
      <c r="E480" s="109"/>
      <c r="F480" s="476"/>
      <c r="G480" s="1111"/>
      <c r="H480" s="109"/>
      <c r="I480" s="109"/>
      <c r="J480" s="109"/>
      <c r="K480" s="109"/>
      <c r="L480" s="109"/>
      <c r="M480" s="1112"/>
      <c r="O480" s="1108"/>
      <c r="P480" s="121"/>
      <c r="Q480" s="121"/>
      <c r="R480" s="121"/>
    </row>
    <row r="481" spans="2:18">
      <c r="B481" s="106"/>
      <c r="C481" s="477"/>
      <c r="D481" s="106"/>
      <c r="E481" s="109"/>
      <c r="F481" s="476"/>
      <c r="G481" s="1111"/>
      <c r="H481" s="109"/>
      <c r="I481" s="109"/>
      <c r="J481" s="109"/>
      <c r="K481" s="109"/>
      <c r="L481" s="109"/>
      <c r="M481" s="1112"/>
      <c r="O481" s="1108"/>
      <c r="P481" s="121"/>
      <c r="Q481" s="121"/>
      <c r="R481" s="121"/>
    </row>
    <row r="482" spans="2:18">
      <c r="B482" s="106"/>
      <c r="C482" s="477"/>
      <c r="D482" s="106"/>
      <c r="E482" s="109"/>
      <c r="F482" s="476"/>
      <c r="G482" s="1111"/>
      <c r="H482" s="109"/>
      <c r="I482" s="109"/>
      <c r="J482" s="109"/>
      <c r="K482" s="109"/>
      <c r="L482" s="109"/>
      <c r="M482" s="1112"/>
      <c r="O482" s="1108"/>
      <c r="P482" s="121"/>
      <c r="Q482" s="121"/>
      <c r="R482" s="121"/>
    </row>
    <row r="483" spans="2:18">
      <c r="B483" s="106"/>
      <c r="C483" s="477"/>
      <c r="D483" s="106"/>
      <c r="E483" s="109"/>
      <c r="F483" s="476"/>
      <c r="G483" s="1111"/>
      <c r="H483" s="109"/>
      <c r="I483" s="109"/>
      <c r="J483" s="109"/>
      <c r="K483" s="109"/>
      <c r="L483" s="109"/>
      <c r="M483" s="1112"/>
      <c r="O483" s="1108"/>
      <c r="P483" s="121"/>
      <c r="Q483" s="121"/>
      <c r="R483" s="121"/>
    </row>
    <row r="484" spans="2:18">
      <c r="B484" s="106"/>
      <c r="C484" s="477"/>
      <c r="D484" s="106"/>
      <c r="E484" s="109"/>
      <c r="F484" s="476"/>
      <c r="G484" s="1111"/>
      <c r="H484" s="109"/>
      <c r="I484" s="109"/>
      <c r="J484" s="109"/>
      <c r="K484" s="109"/>
      <c r="L484" s="109"/>
      <c r="M484" s="1112"/>
      <c r="O484" s="1108"/>
      <c r="P484" s="121"/>
      <c r="Q484" s="121"/>
      <c r="R484" s="121"/>
    </row>
    <row r="485" spans="2:18">
      <c r="B485" s="106"/>
      <c r="C485" s="477"/>
      <c r="D485" s="106"/>
      <c r="E485" s="109"/>
      <c r="F485" s="476"/>
      <c r="G485" s="1111"/>
      <c r="H485" s="109"/>
      <c r="I485" s="109"/>
      <c r="J485" s="109"/>
      <c r="K485" s="109"/>
      <c r="L485" s="109"/>
      <c r="M485" s="1112"/>
      <c r="O485" s="1108"/>
      <c r="P485" s="121"/>
      <c r="Q485" s="121"/>
      <c r="R485" s="121"/>
    </row>
    <row r="486" spans="2:18">
      <c r="B486" s="106"/>
      <c r="C486" s="477"/>
      <c r="D486" s="106"/>
      <c r="E486" s="109"/>
      <c r="F486" s="476"/>
      <c r="G486" s="1111"/>
      <c r="H486" s="109"/>
      <c r="I486" s="109"/>
      <c r="J486" s="109"/>
      <c r="K486" s="109"/>
      <c r="L486" s="109"/>
      <c r="M486" s="1112"/>
      <c r="O486" s="1108"/>
      <c r="P486" s="121"/>
      <c r="Q486" s="121"/>
      <c r="R486" s="121"/>
    </row>
    <row r="487" spans="2:18">
      <c r="B487" s="106"/>
      <c r="C487" s="477"/>
      <c r="D487" s="106"/>
      <c r="E487" s="109"/>
      <c r="F487" s="476"/>
      <c r="G487" s="1111"/>
      <c r="H487" s="109"/>
      <c r="I487" s="109"/>
      <c r="J487" s="109"/>
      <c r="K487" s="109"/>
      <c r="L487" s="109"/>
      <c r="M487" s="1112"/>
      <c r="O487" s="1108"/>
      <c r="P487" s="121"/>
      <c r="Q487" s="121"/>
      <c r="R487" s="121"/>
    </row>
    <row r="488" spans="2:18">
      <c r="B488" s="106"/>
      <c r="C488" s="477"/>
      <c r="D488" s="106"/>
      <c r="E488" s="109"/>
      <c r="F488" s="476"/>
      <c r="G488" s="1111"/>
      <c r="H488" s="109"/>
      <c r="I488" s="109"/>
      <c r="J488" s="109"/>
      <c r="K488" s="109"/>
      <c r="L488" s="109"/>
      <c r="M488" s="1112"/>
      <c r="O488" s="1108"/>
      <c r="P488" s="121"/>
      <c r="Q488" s="121"/>
      <c r="R488" s="121"/>
    </row>
    <row r="489" spans="2:18">
      <c r="B489" s="106"/>
      <c r="C489" s="477"/>
      <c r="D489" s="106"/>
      <c r="E489" s="109"/>
      <c r="F489" s="476"/>
      <c r="G489" s="1111"/>
      <c r="H489" s="109"/>
      <c r="I489" s="109"/>
      <c r="J489" s="109"/>
      <c r="K489" s="109"/>
      <c r="L489" s="109"/>
      <c r="M489" s="1112"/>
      <c r="O489" s="1108"/>
      <c r="P489" s="121"/>
      <c r="Q489" s="121"/>
      <c r="R489" s="121"/>
    </row>
    <row r="490" spans="2:18">
      <c r="B490" s="106"/>
      <c r="C490" s="477"/>
      <c r="D490" s="106"/>
      <c r="E490" s="109"/>
      <c r="F490" s="476"/>
      <c r="G490" s="1111"/>
      <c r="H490" s="109"/>
      <c r="I490" s="109"/>
      <c r="J490" s="109"/>
      <c r="K490" s="109"/>
      <c r="L490" s="109"/>
      <c r="M490" s="1112"/>
      <c r="O490" s="1108"/>
      <c r="P490" s="121"/>
      <c r="Q490" s="121"/>
      <c r="R490" s="121"/>
    </row>
    <row r="491" spans="2:18">
      <c r="B491" s="106"/>
      <c r="C491" s="477"/>
      <c r="D491" s="106"/>
      <c r="E491" s="109"/>
      <c r="F491" s="476"/>
      <c r="G491" s="1111"/>
      <c r="H491" s="109"/>
      <c r="I491" s="109"/>
      <c r="J491" s="109"/>
      <c r="K491" s="109"/>
      <c r="L491" s="109"/>
      <c r="M491" s="1112"/>
      <c r="O491" s="1108"/>
      <c r="P491" s="121"/>
      <c r="Q491" s="121"/>
      <c r="R491" s="121"/>
    </row>
    <row r="492" spans="2:18">
      <c r="B492" s="106"/>
      <c r="C492" s="477"/>
      <c r="D492" s="106"/>
      <c r="E492" s="109"/>
      <c r="F492" s="476"/>
      <c r="G492" s="1111"/>
      <c r="H492" s="109"/>
      <c r="I492" s="109"/>
      <c r="J492" s="109"/>
      <c r="K492" s="109"/>
      <c r="L492" s="109"/>
      <c r="M492" s="1112"/>
      <c r="O492" s="1108"/>
      <c r="P492" s="121"/>
      <c r="Q492" s="121"/>
      <c r="R492" s="121"/>
    </row>
    <row r="493" spans="2:18">
      <c r="B493" s="106"/>
      <c r="C493" s="477"/>
      <c r="D493" s="106"/>
      <c r="E493" s="109"/>
      <c r="F493" s="476"/>
      <c r="G493" s="1111"/>
      <c r="H493" s="109"/>
      <c r="I493" s="109"/>
      <c r="J493" s="109"/>
      <c r="K493" s="109"/>
      <c r="L493" s="109"/>
      <c r="M493" s="1112"/>
      <c r="O493" s="1108"/>
      <c r="P493" s="121"/>
      <c r="Q493" s="121"/>
      <c r="R493" s="121"/>
    </row>
    <row r="494" spans="2:18">
      <c r="B494" s="106"/>
      <c r="C494" s="477"/>
      <c r="D494" s="106"/>
      <c r="E494" s="109"/>
      <c r="F494" s="476"/>
      <c r="G494" s="1111"/>
      <c r="H494" s="109"/>
      <c r="I494" s="109"/>
      <c r="J494" s="109"/>
      <c r="K494" s="109"/>
      <c r="L494" s="109"/>
      <c r="M494" s="1112"/>
      <c r="O494" s="1108"/>
      <c r="P494" s="121"/>
      <c r="Q494" s="121"/>
      <c r="R494" s="121"/>
    </row>
    <row r="495" spans="2:18">
      <c r="B495" s="106"/>
      <c r="C495" s="477"/>
      <c r="D495" s="106"/>
      <c r="E495" s="109"/>
      <c r="F495" s="476"/>
      <c r="G495" s="1111"/>
      <c r="H495" s="109"/>
      <c r="I495" s="109"/>
      <c r="J495" s="109"/>
      <c r="K495" s="109"/>
      <c r="L495" s="109"/>
      <c r="M495" s="1112"/>
      <c r="O495" s="1108"/>
      <c r="P495" s="121"/>
      <c r="Q495" s="121"/>
      <c r="R495" s="121"/>
    </row>
    <row r="496" spans="2:18">
      <c r="B496" s="106"/>
      <c r="C496" s="477"/>
      <c r="D496" s="106"/>
      <c r="E496" s="109"/>
      <c r="F496" s="476"/>
      <c r="G496" s="1111"/>
      <c r="H496" s="109"/>
      <c r="I496" s="109"/>
      <c r="J496" s="109"/>
      <c r="K496" s="109"/>
      <c r="L496" s="109"/>
      <c r="M496" s="1112"/>
      <c r="O496" s="1108"/>
      <c r="P496" s="121"/>
      <c r="Q496" s="121"/>
      <c r="R496" s="121"/>
    </row>
    <row r="497" spans="2:18">
      <c r="B497" s="106"/>
      <c r="C497" s="477"/>
      <c r="D497" s="106"/>
      <c r="E497" s="109"/>
      <c r="F497" s="476"/>
      <c r="G497" s="1111"/>
      <c r="H497" s="109"/>
      <c r="I497" s="109"/>
      <c r="J497" s="109"/>
      <c r="K497" s="109"/>
      <c r="L497" s="109"/>
      <c r="M497" s="1112"/>
      <c r="O497" s="1108"/>
      <c r="P497" s="121"/>
      <c r="Q497" s="121"/>
      <c r="R497" s="121"/>
    </row>
    <row r="498" spans="2:18">
      <c r="B498" s="106"/>
      <c r="C498" s="477"/>
      <c r="D498" s="106"/>
      <c r="E498" s="109"/>
      <c r="F498" s="476"/>
      <c r="G498" s="1111"/>
      <c r="H498" s="109"/>
      <c r="I498" s="109"/>
      <c r="J498" s="109"/>
      <c r="K498" s="109"/>
      <c r="L498" s="109"/>
      <c r="M498" s="1112"/>
      <c r="O498" s="1108"/>
      <c r="P498" s="121"/>
      <c r="Q498" s="121"/>
      <c r="R498" s="121"/>
    </row>
    <row r="499" spans="2:18">
      <c r="B499" s="106"/>
      <c r="C499" s="477"/>
      <c r="D499" s="106"/>
      <c r="E499" s="109"/>
      <c r="F499" s="476"/>
      <c r="G499" s="1111"/>
      <c r="H499" s="109"/>
      <c r="I499" s="109"/>
      <c r="J499" s="109"/>
      <c r="K499" s="109"/>
      <c r="L499" s="109"/>
      <c r="M499" s="1112"/>
      <c r="O499" s="1108"/>
      <c r="P499" s="121"/>
      <c r="Q499" s="121"/>
      <c r="R499" s="121"/>
    </row>
    <row r="500" spans="2:18">
      <c r="B500" s="106"/>
      <c r="C500" s="477"/>
      <c r="D500" s="106"/>
      <c r="E500" s="109"/>
      <c r="F500" s="476"/>
      <c r="G500" s="1111"/>
      <c r="H500" s="109"/>
      <c r="I500" s="109"/>
      <c r="J500" s="109"/>
      <c r="K500" s="109"/>
      <c r="L500" s="109"/>
      <c r="M500" s="1112"/>
      <c r="O500" s="1108"/>
      <c r="P500" s="121"/>
      <c r="Q500" s="121"/>
      <c r="R500" s="121"/>
    </row>
    <row r="501" spans="2:18">
      <c r="B501" s="106"/>
      <c r="C501" s="477"/>
      <c r="D501" s="106"/>
      <c r="E501" s="109"/>
      <c r="F501" s="476"/>
      <c r="G501" s="1111"/>
      <c r="H501" s="109"/>
      <c r="I501" s="109"/>
      <c r="J501" s="109"/>
      <c r="K501" s="109"/>
      <c r="L501" s="109"/>
      <c r="M501" s="1112"/>
      <c r="O501" s="1108"/>
      <c r="P501" s="121"/>
      <c r="Q501" s="121"/>
      <c r="R501" s="121"/>
    </row>
    <row r="502" spans="2:18">
      <c r="B502" s="106"/>
      <c r="C502" s="477"/>
      <c r="D502" s="106"/>
      <c r="E502" s="109"/>
      <c r="F502" s="476"/>
      <c r="G502" s="1111"/>
      <c r="H502" s="109"/>
      <c r="I502" s="109"/>
      <c r="J502" s="109"/>
      <c r="K502" s="109"/>
      <c r="L502" s="109"/>
      <c r="M502" s="1112"/>
      <c r="O502" s="1108"/>
      <c r="P502" s="121"/>
      <c r="Q502" s="121"/>
      <c r="R502" s="121"/>
    </row>
    <row r="503" spans="2:18">
      <c r="B503" s="106"/>
      <c r="C503" s="477"/>
      <c r="D503" s="106"/>
      <c r="E503" s="109"/>
      <c r="F503" s="476"/>
      <c r="G503" s="1111"/>
      <c r="H503" s="109"/>
      <c r="I503" s="109"/>
      <c r="J503" s="109"/>
      <c r="K503" s="109"/>
      <c r="L503" s="109"/>
      <c r="M503" s="1112"/>
      <c r="O503" s="1108"/>
      <c r="P503" s="121"/>
      <c r="Q503" s="121"/>
      <c r="R503" s="121"/>
    </row>
    <row r="504" spans="2:18">
      <c r="B504" s="106"/>
      <c r="C504" s="477"/>
      <c r="D504" s="106"/>
      <c r="E504" s="109"/>
      <c r="F504" s="476"/>
      <c r="G504" s="1111"/>
      <c r="H504" s="109"/>
      <c r="I504" s="109"/>
      <c r="J504" s="109"/>
      <c r="K504" s="109"/>
      <c r="L504" s="109"/>
      <c r="M504" s="1112"/>
      <c r="O504" s="1108"/>
      <c r="P504" s="121"/>
      <c r="Q504" s="121"/>
      <c r="R504" s="121"/>
    </row>
    <row r="505" spans="2:18">
      <c r="B505" s="106"/>
      <c r="C505" s="477"/>
      <c r="D505" s="106"/>
      <c r="E505" s="109"/>
      <c r="F505" s="476"/>
      <c r="G505" s="1111"/>
      <c r="H505" s="109"/>
      <c r="I505" s="109"/>
      <c r="J505" s="109"/>
      <c r="K505" s="109"/>
      <c r="L505" s="109"/>
      <c r="M505" s="1112"/>
      <c r="O505" s="1108"/>
      <c r="P505" s="121"/>
      <c r="Q505" s="121"/>
      <c r="R505" s="121"/>
    </row>
    <row r="506" spans="2:18">
      <c r="B506" s="106"/>
      <c r="C506" s="477"/>
      <c r="D506" s="106"/>
      <c r="E506" s="109"/>
      <c r="F506" s="476"/>
      <c r="G506" s="1111"/>
      <c r="H506" s="109"/>
      <c r="I506" s="109"/>
      <c r="J506" s="109"/>
      <c r="K506" s="109"/>
      <c r="L506" s="109"/>
      <c r="M506" s="1112"/>
      <c r="O506" s="1108"/>
      <c r="P506" s="121"/>
      <c r="Q506" s="121"/>
      <c r="R506" s="121"/>
    </row>
    <row r="507" spans="2:18">
      <c r="B507" s="106"/>
      <c r="C507" s="477"/>
      <c r="D507" s="106"/>
      <c r="E507" s="109"/>
      <c r="F507" s="476"/>
      <c r="G507" s="1111"/>
      <c r="H507" s="109"/>
      <c r="I507" s="109"/>
      <c r="J507" s="109"/>
      <c r="K507" s="109"/>
      <c r="L507" s="109"/>
      <c r="M507" s="1112"/>
      <c r="O507" s="1108"/>
      <c r="P507" s="121"/>
      <c r="Q507" s="121"/>
      <c r="R507" s="121"/>
    </row>
    <row r="508" spans="2:18">
      <c r="B508" s="106"/>
      <c r="C508" s="477"/>
      <c r="D508" s="106"/>
      <c r="E508" s="109"/>
      <c r="F508" s="476"/>
      <c r="G508" s="1111"/>
      <c r="H508" s="109"/>
      <c r="I508" s="109"/>
      <c r="J508" s="109"/>
      <c r="K508" s="109"/>
      <c r="L508" s="109"/>
      <c r="M508" s="1112"/>
      <c r="O508" s="1108"/>
      <c r="P508" s="121"/>
      <c r="Q508" s="121"/>
      <c r="R508" s="121"/>
    </row>
    <row r="509" spans="2:18">
      <c r="B509" s="106"/>
      <c r="C509" s="477"/>
      <c r="D509" s="106"/>
      <c r="E509" s="109"/>
      <c r="F509" s="476"/>
      <c r="G509" s="1111"/>
      <c r="H509" s="109"/>
      <c r="I509" s="109"/>
      <c r="J509" s="109"/>
      <c r="K509" s="109"/>
      <c r="L509" s="109"/>
      <c r="M509" s="1112"/>
      <c r="O509" s="1108"/>
      <c r="P509" s="121"/>
      <c r="Q509" s="121"/>
      <c r="R509" s="121"/>
    </row>
    <row r="510" spans="2:18">
      <c r="B510" s="106"/>
      <c r="C510" s="477"/>
      <c r="D510" s="106"/>
      <c r="E510" s="109"/>
      <c r="F510" s="476"/>
      <c r="G510" s="1111"/>
      <c r="H510" s="109"/>
      <c r="I510" s="109"/>
      <c r="J510" s="109"/>
      <c r="K510" s="109"/>
      <c r="L510" s="109"/>
      <c r="M510" s="1112"/>
      <c r="O510" s="1108"/>
      <c r="P510" s="121"/>
      <c r="Q510" s="121"/>
      <c r="R510" s="121"/>
    </row>
    <row r="511" spans="2:18">
      <c r="B511" s="106"/>
      <c r="C511" s="477"/>
      <c r="D511" s="106"/>
      <c r="E511" s="109"/>
      <c r="F511" s="476"/>
      <c r="G511" s="1111"/>
      <c r="H511" s="109"/>
      <c r="I511" s="109"/>
      <c r="J511" s="109"/>
      <c r="K511" s="109"/>
      <c r="L511" s="109"/>
      <c r="M511" s="1112"/>
      <c r="O511" s="1108"/>
      <c r="P511" s="121"/>
      <c r="Q511" s="121"/>
      <c r="R511" s="121"/>
    </row>
    <row r="512" spans="2:18">
      <c r="B512" s="106"/>
      <c r="C512" s="477"/>
      <c r="D512" s="106"/>
      <c r="E512" s="109"/>
      <c r="F512" s="476"/>
      <c r="G512" s="1111"/>
      <c r="H512" s="109"/>
      <c r="I512" s="109"/>
      <c r="J512" s="109"/>
      <c r="K512" s="109"/>
      <c r="L512" s="109"/>
      <c r="M512" s="1112"/>
      <c r="O512" s="1108"/>
      <c r="P512" s="121"/>
      <c r="Q512" s="121"/>
      <c r="R512" s="121"/>
    </row>
    <row r="513" spans="2:18">
      <c r="B513" s="106"/>
      <c r="C513" s="477"/>
      <c r="D513" s="106"/>
      <c r="E513" s="109"/>
      <c r="F513" s="476"/>
      <c r="G513" s="1111"/>
      <c r="H513" s="109"/>
      <c r="I513" s="109"/>
      <c r="J513" s="109"/>
      <c r="K513" s="109"/>
      <c r="L513" s="109"/>
      <c r="M513" s="1112"/>
      <c r="O513" s="1108"/>
      <c r="P513" s="121"/>
      <c r="Q513" s="121"/>
      <c r="R513" s="121"/>
    </row>
    <row r="514" spans="2:18">
      <c r="B514" s="106"/>
      <c r="C514" s="477"/>
      <c r="D514" s="106"/>
      <c r="E514" s="109"/>
      <c r="F514" s="476"/>
      <c r="G514" s="1111"/>
      <c r="H514" s="109"/>
      <c r="I514" s="109"/>
      <c r="J514" s="109"/>
      <c r="K514" s="109"/>
      <c r="L514" s="109"/>
      <c r="M514" s="1112"/>
      <c r="O514" s="1108"/>
      <c r="P514" s="121"/>
      <c r="Q514" s="121"/>
      <c r="R514" s="121"/>
    </row>
    <row r="515" spans="2:18">
      <c r="B515" s="106"/>
      <c r="C515" s="477"/>
      <c r="D515" s="106"/>
      <c r="E515" s="109"/>
      <c r="F515" s="476"/>
      <c r="G515" s="1111"/>
      <c r="H515" s="109"/>
      <c r="I515" s="109"/>
      <c r="J515" s="109"/>
      <c r="K515" s="109"/>
      <c r="L515" s="109"/>
      <c r="M515" s="1112"/>
      <c r="O515" s="1108"/>
      <c r="P515" s="121"/>
      <c r="Q515" s="121"/>
      <c r="R515" s="121"/>
    </row>
    <row r="516" spans="2:18">
      <c r="B516" s="106"/>
      <c r="C516" s="477"/>
      <c r="D516" s="106"/>
      <c r="E516" s="109"/>
      <c r="F516" s="476"/>
      <c r="G516" s="1111"/>
      <c r="H516" s="109"/>
      <c r="I516" s="109"/>
      <c r="J516" s="109"/>
      <c r="K516" s="109"/>
      <c r="L516" s="109"/>
      <c r="M516" s="1112"/>
      <c r="O516" s="1108"/>
      <c r="P516" s="121"/>
      <c r="Q516" s="121"/>
      <c r="R516" s="121"/>
    </row>
    <row r="517" spans="2:18">
      <c r="B517" s="106"/>
      <c r="C517" s="477"/>
      <c r="D517" s="106"/>
      <c r="E517" s="109"/>
      <c r="F517" s="476"/>
      <c r="G517" s="1111"/>
      <c r="H517" s="109"/>
      <c r="I517" s="109"/>
      <c r="J517" s="109"/>
      <c r="K517" s="109"/>
      <c r="L517" s="109"/>
      <c r="M517" s="1112"/>
      <c r="O517" s="1108"/>
      <c r="P517" s="121"/>
      <c r="Q517" s="121"/>
      <c r="R517" s="121"/>
    </row>
    <row r="518" spans="2:18">
      <c r="B518" s="106"/>
      <c r="C518" s="477"/>
      <c r="D518" s="106"/>
      <c r="E518" s="109"/>
      <c r="F518" s="476"/>
      <c r="G518" s="1111"/>
      <c r="H518" s="109"/>
      <c r="I518" s="109"/>
      <c r="J518" s="109"/>
      <c r="K518" s="109"/>
      <c r="L518" s="109"/>
      <c r="M518" s="1112"/>
      <c r="O518" s="1108"/>
      <c r="P518" s="121"/>
      <c r="Q518" s="121"/>
      <c r="R518" s="121"/>
    </row>
    <row r="519" spans="2:18">
      <c r="B519" s="106"/>
      <c r="C519" s="477"/>
      <c r="D519" s="106"/>
      <c r="E519" s="109"/>
      <c r="F519" s="476"/>
      <c r="G519" s="1111"/>
      <c r="H519" s="109"/>
      <c r="I519" s="109"/>
      <c r="J519" s="109"/>
      <c r="K519" s="109"/>
      <c r="L519" s="109"/>
      <c r="M519" s="1112"/>
      <c r="O519" s="1108"/>
      <c r="P519" s="121"/>
      <c r="Q519" s="121"/>
      <c r="R519" s="121"/>
    </row>
    <row r="520" spans="2:18">
      <c r="B520" s="106"/>
      <c r="C520" s="477"/>
      <c r="D520" s="106"/>
      <c r="E520" s="109"/>
      <c r="F520" s="476"/>
      <c r="G520" s="1111"/>
      <c r="H520" s="109"/>
      <c r="I520" s="109"/>
      <c r="J520" s="109"/>
      <c r="K520" s="109"/>
      <c r="L520" s="109"/>
      <c r="M520" s="1112"/>
      <c r="O520" s="1108"/>
      <c r="P520" s="121"/>
      <c r="Q520" s="121"/>
      <c r="R520" s="121"/>
    </row>
    <row r="521" spans="2:18">
      <c r="B521" s="106"/>
      <c r="C521" s="477"/>
      <c r="D521" s="106"/>
      <c r="E521" s="109"/>
      <c r="F521" s="476"/>
      <c r="G521" s="1111"/>
      <c r="H521" s="109"/>
      <c r="I521" s="109"/>
      <c r="J521" s="109"/>
      <c r="K521" s="109"/>
      <c r="L521" s="109"/>
      <c r="M521" s="1112"/>
      <c r="O521" s="1108"/>
      <c r="P521" s="121"/>
      <c r="Q521" s="121"/>
      <c r="R521" s="121"/>
    </row>
    <row r="522" spans="2:18">
      <c r="B522" s="106"/>
      <c r="C522" s="477"/>
      <c r="D522" s="106"/>
      <c r="E522" s="109"/>
      <c r="F522" s="476"/>
      <c r="G522" s="1111"/>
      <c r="H522" s="109"/>
      <c r="I522" s="109"/>
      <c r="J522" s="109"/>
      <c r="K522" s="109"/>
      <c r="L522" s="109"/>
      <c r="M522" s="1112"/>
      <c r="O522" s="1108"/>
      <c r="P522" s="121"/>
      <c r="Q522" s="121"/>
      <c r="R522" s="121"/>
    </row>
    <row r="523" spans="2:18">
      <c r="B523" s="106"/>
      <c r="C523" s="477"/>
      <c r="D523" s="106"/>
      <c r="E523" s="109"/>
      <c r="F523" s="476"/>
      <c r="G523" s="1111"/>
      <c r="H523" s="109"/>
      <c r="I523" s="109"/>
      <c r="J523" s="109"/>
      <c r="K523" s="109"/>
      <c r="L523" s="109"/>
      <c r="M523" s="1112"/>
      <c r="O523" s="1108"/>
      <c r="P523" s="121"/>
      <c r="Q523" s="121"/>
      <c r="R523" s="121"/>
    </row>
    <row r="524" spans="2:18">
      <c r="B524" s="106"/>
      <c r="C524" s="477"/>
      <c r="D524" s="106"/>
      <c r="E524" s="109"/>
      <c r="F524" s="476"/>
      <c r="G524" s="1111"/>
      <c r="H524" s="109"/>
      <c r="I524" s="109"/>
      <c r="J524" s="109"/>
      <c r="K524" s="109"/>
      <c r="L524" s="109"/>
      <c r="M524" s="1112"/>
      <c r="O524" s="1108"/>
      <c r="P524" s="121"/>
      <c r="Q524" s="121"/>
      <c r="R524" s="121"/>
    </row>
    <row r="525" spans="2:18">
      <c r="B525" s="106"/>
      <c r="C525" s="477"/>
      <c r="D525" s="106"/>
      <c r="E525" s="109"/>
      <c r="F525" s="476"/>
      <c r="G525" s="1111"/>
      <c r="H525" s="109"/>
      <c r="I525" s="109"/>
      <c r="J525" s="109"/>
      <c r="K525" s="109"/>
      <c r="L525" s="109"/>
      <c r="M525" s="1112"/>
      <c r="O525" s="1108"/>
      <c r="P525" s="121"/>
      <c r="Q525" s="121"/>
      <c r="R525" s="121"/>
    </row>
    <row r="526" spans="2:18">
      <c r="B526" s="106"/>
      <c r="C526" s="477"/>
      <c r="D526" s="106"/>
      <c r="E526" s="109"/>
      <c r="F526" s="476"/>
      <c r="G526" s="1111"/>
      <c r="H526" s="109"/>
      <c r="I526" s="109"/>
      <c r="J526" s="109"/>
      <c r="K526" s="109"/>
      <c r="L526" s="109"/>
      <c r="M526" s="1112"/>
      <c r="O526" s="1108"/>
      <c r="P526" s="121"/>
      <c r="Q526" s="121"/>
      <c r="R526" s="121"/>
    </row>
    <row r="527" spans="2:18">
      <c r="B527" s="106"/>
      <c r="C527" s="477"/>
      <c r="D527" s="106"/>
      <c r="E527" s="109"/>
      <c r="F527" s="476"/>
      <c r="G527" s="1111"/>
      <c r="H527" s="109"/>
      <c r="I527" s="109"/>
      <c r="J527" s="109"/>
      <c r="K527" s="109"/>
      <c r="L527" s="109"/>
      <c r="M527" s="1112"/>
      <c r="O527" s="1108"/>
      <c r="P527" s="121"/>
      <c r="Q527" s="121"/>
      <c r="R527" s="121"/>
    </row>
    <row r="528" spans="2:18">
      <c r="B528" s="106"/>
      <c r="C528" s="477"/>
      <c r="D528" s="106"/>
      <c r="E528" s="109"/>
      <c r="F528" s="476"/>
      <c r="G528" s="1111"/>
      <c r="H528" s="109"/>
      <c r="I528" s="109"/>
      <c r="J528" s="109"/>
      <c r="K528" s="109"/>
      <c r="L528" s="109"/>
      <c r="M528" s="1112"/>
      <c r="O528" s="1108"/>
      <c r="P528" s="121"/>
      <c r="Q528" s="121"/>
      <c r="R528" s="121"/>
    </row>
    <row r="529" spans="2:18">
      <c r="B529" s="106"/>
      <c r="C529" s="477"/>
      <c r="D529" s="106"/>
      <c r="E529" s="109"/>
      <c r="F529" s="476"/>
      <c r="G529" s="1111"/>
      <c r="H529" s="109"/>
      <c r="I529" s="109"/>
      <c r="J529" s="109"/>
      <c r="K529" s="109"/>
      <c r="L529" s="109"/>
      <c r="M529" s="1112"/>
      <c r="O529" s="1108"/>
      <c r="P529" s="121"/>
      <c r="Q529" s="121"/>
      <c r="R529" s="121"/>
    </row>
    <row r="530" spans="2:18">
      <c r="B530" s="106"/>
      <c r="C530" s="477"/>
      <c r="D530" s="106"/>
      <c r="E530" s="109"/>
      <c r="F530" s="476"/>
      <c r="G530" s="1111"/>
      <c r="H530" s="109"/>
      <c r="I530" s="109"/>
      <c r="J530" s="109"/>
      <c r="K530" s="109"/>
      <c r="L530" s="109"/>
      <c r="M530" s="1112"/>
      <c r="O530" s="1108"/>
      <c r="P530" s="121"/>
      <c r="Q530" s="121"/>
      <c r="R530" s="121"/>
    </row>
    <row r="531" spans="2:18">
      <c r="B531" s="106"/>
      <c r="C531" s="477"/>
      <c r="D531" s="106"/>
      <c r="E531" s="109"/>
      <c r="F531" s="476"/>
      <c r="G531" s="1111"/>
      <c r="H531" s="109"/>
      <c r="I531" s="109"/>
      <c r="J531" s="109"/>
      <c r="K531" s="109"/>
      <c r="L531" s="109"/>
      <c r="M531" s="1112"/>
      <c r="O531" s="1108"/>
      <c r="P531" s="121"/>
      <c r="Q531" s="121"/>
      <c r="R531" s="121"/>
    </row>
    <row r="532" spans="2:18">
      <c r="B532" s="106"/>
      <c r="C532" s="477"/>
      <c r="D532" s="106"/>
      <c r="E532" s="109"/>
      <c r="F532" s="476"/>
      <c r="G532" s="1111"/>
      <c r="H532" s="109"/>
      <c r="I532" s="109"/>
      <c r="J532" s="109"/>
      <c r="K532" s="109"/>
      <c r="L532" s="109"/>
      <c r="M532" s="1112"/>
      <c r="O532" s="1108"/>
      <c r="P532" s="121"/>
      <c r="Q532" s="121"/>
      <c r="R532" s="121"/>
    </row>
    <row r="533" spans="2:18">
      <c r="B533" s="106"/>
      <c r="C533" s="477"/>
      <c r="D533" s="106"/>
      <c r="E533" s="109"/>
      <c r="F533" s="476"/>
      <c r="G533" s="1111"/>
      <c r="H533" s="109"/>
      <c r="I533" s="109"/>
      <c r="J533" s="109"/>
      <c r="K533" s="109"/>
      <c r="L533" s="109"/>
      <c r="M533" s="1112"/>
      <c r="O533" s="1108"/>
      <c r="P533" s="121"/>
      <c r="Q533" s="121"/>
      <c r="R533" s="121"/>
    </row>
    <row r="534" spans="2:18">
      <c r="B534" s="106"/>
      <c r="C534" s="477"/>
      <c r="D534" s="106"/>
      <c r="E534" s="109"/>
      <c r="F534" s="476"/>
      <c r="G534" s="1111"/>
      <c r="H534" s="109"/>
      <c r="I534" s="109"/>
      <c r="J534" s="109"/>
      <c r="K534" s="109"/>
      <c r="L534" s="109"/>
      <c r="M534" s="1112"/>
      <c r="O534" s="1108"/>
      <c r="P534" s="121"/>
      <c r="Q534" s="121"/>
      <c r="R534" s="121"/>
    </row>
    <row r="535" spans="2:18">
      <c r="B535" s="106"/>
      <c r="C535" s="477"/>
      <c r="D535" s="106"/>
      <c r="E535" s="109"/>
      <c r="F535" s="476"/>
      <c r="G535" s="1111"/>
      <c r="H535" s="109"/>
      <c r="I535" s="109"/>
      <c r="J535" s="109"/>
      <c r="K535" s="109"/>
      <c r="L535" s="109"/>
      <c r="M535" s="1112"/>
      <c r="O535" s="1108"/>
      <c r="P535" s="121"/>
      <c r="Q535" s="121"/>
      <c r="R535" s="121"/>
    </row>
    <row r="536" spans="2:18">
      <c r="B536" s="106"/>
      <c r="C536" s="477"/>
      <c r="D536" s="106"/>
      <c r="E536" s="109"/>
      <c r="F536" s="476"/>
      <c r="G536" s="1111"/>
      <c r="H536" s="109"/>
      <c r="I536" s="109"/>
      <c r="J536" s="109"/>
      <c r="K536" s="109"/>
      <c r="L536" s="109"/>
      <c r="M536" s="1112"/>
      <c r="O536" s="1108"/>
      <c r="P536" s="121"/>
      <c r="Q536" s="121"/>
      <c r="R536" s="121"/>
    </row>
    <row r="537" spans="2:18">
      <c r="B537" s="106"/>
      <c r="C537" s="477"/>
      <c r="D537" s="106"/>
      <c r="E537" s="109"/>
      <c r="F537" s="476"/>
      <c r="G537" s="1111"/>
      <c r="H537" s="109"/>
      <c r="I537" s="109"/>
      <c r="J537" s="109"/>
      <c r="K537" s="109"/>
      <c r="L537" s="109"/>
      <c r="M537" s="1112"/>
      <c r="O537" s="1108"/>
      <c r="P537" s="121"/>
      <c r="Q537" s="121"/>
      <c r="R537" s="121"/>
    </row>
    <row r="538" spans="2:18">
      <c r="B538" s="106"/>
      <c r="C538" s="477"/>
      <c r="D538" s="106"/>
      <c r="E538" s="109"/>
      <c r="F538" s="476"/>
      <c r="G538" s="1111"/>
      <c r="H538" s="109"/>
      <c r="I538" s="109"/>
      <c r="J538" s="109"/>
      <c r="K538" s="109"/>
      <c r="L538" s="109"/>
      <c r="M538" s="1112"/>
      <c r="O538" s="1108"/>
      <c r="P538" s="121"/>
      <c r="Q538" s="121"/>
      <c r="R538" s="121"/>
    </row>
    <row r="539" spans="2:18">
      <c r="B539" s="106"/>
      <c r="C539" s="477"/>
      <c r="D539" s="106"/>
      <c r="E539" s="109"/>
      <c r="F539" s="476"/>
      <c r="G539" s="1111"/>
      <c r="H539" s="109"/>
      <c r="I539" s="109"/>
      <c r="J539" s="109"/>
      <c r="K539" s="109"/>
      <c r="L539" s="109"/>
      <c r="M539" s="1112"/>
      <c r="O539" s="1108"/>
      <c r="P539" s="121"/>
      <c r="Q539" s="121"/>
      <c r="R539" s="121"/>
    </row>
    <row r="540" spans="2:18">
      <c r="B540" s="106"/>
      <c r="C540" s="477"/>
      <c r="D540" s="106"/>
      <c r="E540" s="109"/>
      <c r="F540" s="476"/>
      <c r="G540" s="1111"/>
      <c r="H540" s="109"/>
      <c r="I540" s="109"/>
      <c r="J540" s="109"/>
      <c r="K540" s="109"/>
      <c r="L540" s="109"/>
      <c r="M540" s="1112"/>
      <c r="O540" s="1108"/>
      <c r="P540" s="121"/>
      <c r="Q540" s="121"/>
      <c r="R540" s="121"/>
    </row>
    <row r="541" spans="2:18">
      <c r="B541" s="106"/>
      <c r="C541" s="477"/>
      <c r="D541" s="106"/>
      <c r="E541" s="109"/>
      <c r="F541" s="476"/>
      <c r="G541" s="1111"/>
      <c r="H541" s="109"/>
      <c r="I541" s="109"/>
      <c r="J541" s="109"/>
      <c r="K541" s="109"/>
      <c r="L541" s="109"/>
      <c r="M541" s="1112"/>
      <c r="O541" s="1108"/>
      <c r="P541" s="121"/>
      <c r="Q541" s="121"/>
      <c r="R541" s="121"/>
    </row>
    <row r="542" spans="2:18">
      <c r="B542" s="106"/>
      <c r="C542" s="477"/>
      <c r="D542" s="106"/>
      <c r="E542" s="109"/>
      <c r="F542" s="476"/>
      <c r="G542" s="1111"/>
      <c r="H542" s="109"/>
      <c r="I542" s="109"/>
      <c r="J542" s="109"/>
      <c r="K542" s="109"/>
      <c r="L542" s="109"/>
      <c r="M542" s="1112"/>
      <c r="O542" s="1108"/>
      <c r="P542" s="121"/>
      <c r="Q542" s="121"/>
      <c r="R542" s="121"/>
    </row>
    <row r="543" spans="2:18">
      <c r="B543" s="106"/>
      <c r="C543" s="477"/>
      <c r="D543" s="106"/>
      <c r="E543" s="109"/>
      <c r="F543" s="476"/>
      <c r="G543" s="1111"/>
      <c r="H543" s="109"/>
      <c r="I543" s="109"/>
      <c r="J543" s="109"/>
      <c r="K543" s="109"/>
      <c r="L543" s="109"/>
      <c r="M543" s="1112"/>
      <c r="O543" s="1108"/>
      <c r="P543" s="121"/>
      <c r="Q543" s="121"/>
      <c r="R543" s="121"/>
    </row>
    <row r="544" spans="2:18">
      <c r="B544" s="106"/>
      <c r="C544" s="477"/>
      <c r="D544" s="106"/>
      <c r="E544" s="109"/>
      <c r="F544" s="476"/>
      <c r="G544" s="1111"/>
      <c r="H544" s="109"/>
      <c r="I544" s="109"/>
      <c r="J544" s="109"/>
      <c r="K544" s="109"/>
      <c r="L544" s="109"/>
      <c r="M544" s="1112"/>
      <c r="O544" s="1108"/>
      <c r="P544" s="121"/>
      <c r="Q544" s="121"/>
      <c r="R544" s="121"/>
    </row>
    <row r="545" spans="2:18">
      <c r="B545" s="106"/>
      <c r="C545" s="477"/>
      <c r="D545" s="106"/>
      <c r="E545" s="109"/>
      <c r="F545" s="476"/>
      <c r="G545" s="1111"/>
      <c r="H545" s="109"/>
      <c r="I545" s="109"/>
      <c r="J545" s="109"/>
      <c r="K545" s="109"/>
      <c r="L545" s="109"/>
      <c r="M545" s="1112"/>
      <c r="O545" s="1108"/>
      <c r="P545" s="121"/>
      <c r="Q545" s="121"/>
      <c r="R545" s="121"/>
    </row>
    <row r="546" spans="2:18">
      <c r="B546" s="106"/>
      <c r="C546" s="477"/>
      <c r="D546" s="106"/>
      <c r="E546" s="109"/>
      <c r="F546" s="476"/>
      <c r="G546" s="1111"/>
      <c r="H546" s="109"/>
      <c r="I546" s="109"/>
      <c r="J546" s="109"/>
      <c r="K546" s="109"/>
      <c r="L546" s="109"/>
      <c r="M546" s="1112"/>
      <c r="O546" s="1108"/>
      <c r="P546" s="121"/>
      <c r="Q546" s="121"/>
      <c r="R546" s="121"/>
    </row>
    <row r="547" spans="2:18">
      <c r="B547" s="106"/>
      <c r="C547" s="477"/>
      <c r="D547" s="106"/>
      <c r="E547" s="109"/>
      <c r="F547" s="476"/>
      <c r="G547" s="1111"/>
      <c r="H547" s="109"/>
      <c r="I547" s="109"/>
      <c r="J547" s="109"/>
      <c r="K547" s="109"/>
      <c r="L547" s="109"/>
      <c r="M547" s="1112"/>
      <c r="O547" s="1108"/>
      <c r="P547" s="121"/>
      <c r="Q547" s="121"/>
      <c r="R547" s="121"/>
    </row>
    <row r="548" spans="2:18">
      <c r="B548" s="106"/>
      <c r="C548" s="477"/>
      <c r="D548" s="106"/>
      <c r="E548" s="109"/>
      <c r="F548" s="476"/>
      <c r="G548" s="1111"/>
      <c r="H548" s="109"/>
      <c r="I548" s="109"/>
      <c r="J548" s="109"/>
      <c r="K548" s="109"/>
      <c r="L548" s="109"/>
      <c r="M548" s="1112"/>
      <c r="O548" s="1108"/>
      <c r="P548" s="121"/>
      <c r="Q548" s="121"/>
      <c r="R548" s="121"/>
    </row>
    <row r="549" spans="2:18">
      <c r="B549" s="106"/>
      <c r="C549" s="477"/>
      <c r="D549" s="106"/>
      <c r="E549" s="109"/>
      <c r="F549" s="476"/>
      <c r="G549" s="1111"/>
      <c r="H549" s="109"/>
      <c r="I549" s="109"/>
      <c r="J549" s="109"/>
      <c r="K549" s="109"/>
      <c r="L549" s="109"/>
      <c r="M549" s="1112"/>
      <c r="O549" s="1108"/>
      <c r="P549" s="121"/>
      <c r="Q549" s="121"/>
      <c r="R549" s="121"/>
    </row>
    <row r="550" spans="2:18">
      <c r="B550" s="106"/>
      <c r="C550" s="477"/>
      <c r="D550" s="106"/>
      <c r="E550" s="109"/>
      <c r="F550" s="476"/>
      <c r="G550" s="1111"/>
      <c r="H550" s="109"/>
      <c r="I550" s="109"/>
      <c r="J550" s="109"/>
      <c r="K550" s="109"/>
      <c r="L550" s="109"/>
      <c r="M550" s="1112"/>
      <c r="O550" s="1108"/>
      <c r="P550" s="121"/>
      <c r="Q550" s="121"/>
      <c r="R550" s="121"/>
    </row>
    <row r="551" spans="2:18">
      <c r="B551" s="106"/>
      <c r="C551" s="477"/>
      <c r="D551" s="106"/>
      <c r="E551" s="109"/>
      <c r="F551" s="476"/>
      <c r="G551" s="1111"/>
      <c r="H551" s="109"/>
      <c r="I551" s="109"/>
      <c r="J551" s="109"/>
      <c r="K551" s="109"/>
      <c r="L551" s="109"/>
      <c r="M551" s="1112"/>
      <c r="O551" s="1108"/>
      <c r="P551" s="121"/>
      <c r="Q551" s="121"/>
      <c r="R551" s="121"/>
    </row>
    <row r="552" spans="2:18">
      <c r="B552" s="106"/>
      <c r="C552" s="477"/>
      <c r="D552" s="106"/>
      <c r="E552" s="109"/>
      <c r="F552" s="476"/>
      <c r="G552" s="1111"/>
      <c r="H552" s="109"/>
      <c r="I552" s="109"/>
      <c r="J552" s="109"/>
      <c r="K552" s="109"/>
      <c r="L552" s="109"/>
      <c r="M552" s="1112"/>
      <c r="O552" s="1108"/>
      <c r="P552" s="121"/>
      <c r="Q552" s="121"/>
      <c r="R552" s="121"/>
    </row>
    <row r="553" spans="2:18">
      <c r="B553" s="106"/>
      <c r="C553" s="477"/>
      <c r="D553" s="106"/>
      <c r="E553" s="109"/>
      <c r="F553" s="476"/>
      <c r="G553" s="1111"/>
      <c r="H553" s="109"/>
      <c r="I553" s="109"/>
      <c r="J553" s="109"/>
      <c r="K553" s="109"/>
      <c r="L553" s="109"/>
      <c r="M553" s="1112"/>
      <c r="O553" s="1108"/>
      <c r="P553" s="121"/>
      <c r="Q553" s="121"/>
      <c r="R553" s="121"/>
    </row>
    <row r="554" spans="2:18">
      <c r="B554" s="106"/>
      <c r="C554" s="477"/>
      <c r="D554" s="106"/>
      <c r="E554" s="109"/>
      <c r="F554" s="476"/>
      <c r="G554" s="1111"/>
      <c r="H554" s="109"/>
      <c r="I554" s="109"/>
      <c r="J554" s="109"/>
      <c r="K554" s="109"/>
      <c r="L554" s="109"/>
      <c r="M554" s="1112"/>
      <c r="O554" s="1108"/>
      <c r="P554" s="121"/>
      <c r="Q554" s="121"/>
      <c r="R554" s="121"/>
    </row>
    <row r="555" spans="2:18">
      <c r="B555" s="106"/>
      <c r="C555" s="477"/>
      <c r="D555" s="106"/>
      <c r="E555" s="109"/>
      <c r="F555" s="476"/>
      <c r="G555" s="1111"/>
      <c r="H555" s="109"/>
      <c r="I555" s="109"/>
      <c r="J555" s="109"/>
      <c r="K555" s="109"/>
      <c r="L555" s="109"/>
      <c r="M555" s="1112"/>
      <c r="O555" s="1108"/>
      <c r="P555" s="121"/>
      <c r="Q555" s="121"/>
      <c r="R555" s="121"/>
    </row>
    <row r="556" spans="2:18">
      <c r="B556" s="106"/>
      <c r="C556" s="477"/>
      <c r="D556" s="106"/>
      <c r="E556" s="109"/>
      <c r="F556" s="476"/>
      <c r="G556" s="1111"/>
      <c r="H556" s="109"/>
      <c r="I556" s="109"/>
      <c r="J556" s="109"/>
      <c r="K556" s="109"/>
      <c r="L556" s="109"/>
      <c r="M556" s="1112"/>
      <c r="O556" s="1108"/>
      <c r="P556" s="121"/>
      <c r="Q556" s="121"/>
      <c r="R556" s="121"/>
    </row>
    <row r="557" spans="2:18">
      <c r="B557" s="106"/>
      <c r="C557" s="477"/>
      <c r="D557" s="106"/>
      <c r="E557" s="109"/>
      <c r="F557" s="476"/>
      <c r="G557" s="1111"/>
      <c r="H557" s="109"/>
      <c r="I557" s="109"/>
      <c r="J557" s="109"/>
      <c r="K557" s="109"/>
      <c r="L557" s="109"/>
      <c r="M557" s="1112"/>
      <c r="O557" s="1108"/>
      <c r="P557" s="121"/>
      <c r="Q557" s="121"/>
      <c r="R557" s="121"/>
    </row>
    <row r="558" spans="2:18">
      <c r="B558" s="106"/>
      <c r="C558" s="477"/>
      <c r="D558" s="106"/>
      <c r="E558" s="109"/>
      <c r="F558" s="476"/>
      <c r="G558" s="1111"/>
      <c r="H558" s="109"/>
      <c r="I558" s="109"/>
      <c r="J558" s="109"/>
      <c r="K558" s="109"/>
      <c r="L558" s="109"/>
      <c r="M558" s="1112"/>
      <c r="O558" s="1108"/>
      <c r="P558" s="121"/>
      <c r="Q558" s="121"/>
      <c r="R558" s="121"/>
    </row>
    <row r="559" spans="2:18">
      <c r="B559" s="106"/>
      <c r="C559" s="477"/>
      <c r="D559" s="106"/>
      <c r="E559" s="109"/>
      <c r="F559" s="476"/>
      <c r="G559" s="1111"/>
      <c r="H559" s="109"/>
      <c r="I559" s="109"/>
      <c r="J559" s="109"/>
      <c r="K559" s="109"/>
      <c r="L559" s="109"/>
      <c r="M559" s="1112"/>
      <c r="O559" s="1108"/>
      <c r="P559" s="121"/>
      <c r="Q559" s="121"/>
      <c r="R559" s="121"/>
    </row>
    <row r="560" spans="2:18">
      <c r="B560" s="106"/>
      <c r="C560" s="477"/>
      <c r="D560" s="106"/>
      <c r="E560" s="109"/>
      <c r="F560" s="476"/>
      <c r="G560" s="1111"/>
      <c r="H560" s="109"/>
      <c r="I560" s="109"/>
      <c r="J560" s="109"/>
      <c r="K560" s="109"/>
      <c r="L560" s="109"/>
      <c r="M560" s="1112"/>
      <c r="O560" s="1108"/>
      <c r="P560" s="121"/>
      <c r="Q560" s="121"/>
      <c r="R560" s="121"/>
    </row>
    <row r="561" spans="2:18">
      <c r="B561" s="106"/>
      <c r="C561" s="477"/>
      <c r="D561" s="106"/>
      <c r="E561" s="109"/>
      <c r="F561" s="476"/>
      <c r="G561" s="1111"/>
      <c r="H561" s="109"/>
      <c r="I561" s="109"/>
      <c r="J561" s="109"/>
      <c r="K561" s="109"/>
      <c r="L561" s="109"/>
      <c r="M561" s="1112"/>
      <c r="O561" s="1108"/>
      <c r="P561" s="121"/>
      <c r="Q561" s="121"/>
      <c r="R561" s="121"/>
    </row>
    <row r="562" spans="2:18">
      <c r="B562" s="106"/>
      <c r="C562" s="477"/>
      <c r="D562" s="106"/>
      <c r="E562" s="109"/>
      <c r="F562" s="476"/>
      <c r="G562" s="1111"/>
      <c r="H562" s="109"/>
      <c r="I562" s="109"/>
      <c r="J562" s="109"/>
      <c r="K562" s="109"/>
      <c r="L562" s="109"/>
      <c r="M562" s="1112"/>
      <c r="O562" s="1108"/>
      <c r="P562" s="121"/>
      <c r="Q562" s="121"/>
      <c r="R562" s="121"/>
    </row>
    <row r="563" spans="2:18">
      <c r="B563" s="106"/>
      <c r="C563" s="477"/>
      <c r="D563" s="106"/>
      <c r="E563" s="109"/>
      <c r="F563" s="476"/>
      <c r="G563" s="1111"/>
      <c r="H563" s="109"/>
      <c r="I563" s="109"/>
      <c r="J563" s="109"/>
      <c r="K563" s="109"/>
      <c r="L563" s="109"/>
      <c r="M563" s="1112"/>
      <c r="O563" s="1108"/>
      <c r="P563" s="121"/>
      <c r="Q563" s="121"/>
      <c r="R563" s="121"/>
    </row>
    <row r="564" spans="2:18">
      <c r="B564" s="106"/>
      <c r="C564" s="477"/>
      <c r="D564" s="106"/>
      <c r="E564" s="109"/>
      <c r="F564" s="476"/>
      <c r="G564" s="1111"/>
      <c r="H564" s="109"/>
      <c r="I564" s="109"/>
      <c r="J564" s="109"/>
      <c r="K564" s="109"/>
      <c r="L564" s="109"/>
      <c r="M564" s="1112"/>
      <c r="O564" s="1108"/>
      <c r="P564" s="121"/>
      <c r="Q564" s="121"/>
      <c r="R564" s="121"/>
    </row>
    <row r="565" spans="2:18">
      <c r="B565" s="106"/>
      <c r="C565" s="477"/>
      <c r="D565" s="106"/>
      <c r="E565" s="109"/>
      <c r="F565" s="476"/>
      <c r="G565" s="1111"/>
      <c r="H565" s="109"/>
      <c r="I565" s="109"/>
      <c r="J565" s="109"/>
      <c r="K565" s="109"/>
      <c r="L565" s="109"/>
      <c r="M565" s="1112"/>
      <c r="O565" s="1108"/>
      <c r="P565" s="121"/>
      <c r="Q565" s="121"/>
      <c r="R565" s="121"/>
    </row>
    <row r="566" spans="2:18">
      <c r="B566" s="106"/>
      <c r="C566" s="477"/>
      <c r="D566" s="106"/>
      <c r="E566" s="109"/>
      <c r="F566" s="476"/>
      <c r="G566" s="1111"/>
      <c r="H566" s="109"/>
      <c r="I566" s="109"/>
      <c r="J566" s="109"/>
      <c r="K566" s="109"/>
      <c r="L566" s="109"/>
      <c r="M566" s="1112"/>
      <c r="O566" s="1108"/>
      <c r="P566" s="121"/>
      <c r="Q566" s="121"/>
      <c r="R566" s="121"/>
    </row>
    <row r="567" spans="2:18">
      <c r="B567" s="106"/>
      <c r="C567" s="477"/>
      <c r="D567" s="106"/>
      <c r="E567" s="109"/>
      <c r="F567" s="476"/>
      <c r="G567" s="1111"/>
      <c r="H567" s="109"/>
      <c r="I567" s="109"/>
      <c r="J567" s="109"/>
      <c r="K567" s="109"/>
      <c r="L567" s="109"/>
      <c r="M567" s="1112"/>
      <c r="O567" s="1108"/>
      <c r="P567" s="121"/>
      <c r="Q567" s="121"/>
      <c r="R567" s="121"/>
    </row>
    <row r="568" spans="2:18">
      <c r="B568" s="106"/>
      <c r="C568" s="477"/>
      <c r="D568" s="106"/>
      <c r="E568" s="109"/>
      <c r="F568" s="476"/>
      <c r="G568" s="1111"/>
      <c r="H568" s="109"/>
      <c r="I568" s="109"/>
      <c r="J568" s="109"/>
      <c r="K568" s="109"/>
      <c r="L568" s="109"/>
      <c r="M568" s="1112"/>
      <c r="O568" s="1108"/>
      <c r="P568" s="121"/>
      <c r="Q568" s="121"/>
      <c r="R568" s="121"/>
    </row>
    <row r="569" spans="2:18">
      <c r="B569" s="106"/>
      <c r="C569" s="477"/>
      <c r="D569" s="106"/>
      <c r="E569" s="109"/>
      <c r="F569" s="476"/>
      <c r="G569" s="1111"/>
      <c r="H569" s="109"/>
      <c r="I569" s="109"/>
      <c r="J569" s="109"/>
      <c r="K569" s="109"/>
      <c r="L569" s="109"/>
      <c r="M569" s="1112"/>
      <c r="O569" s="1108"/>
      <c r="P569" s="121"/>
      <c r="Q569" s="121"/>
      <c r="R569" s="121"/>
    </row>
    <row r="570" spans="2:18">
      <c r="B570" s="106"/>
      <c r="C570" s="477"/>
      <c r="D570" s="106"/>
      <c r="E570" s="109"/>
      <c r="F570" s="476"/>
      <c r="G570" s="1111"/>
      <c r="H570" s="109"/>
      <c r="I570" s="109"/>
      <c r="J570" s="109"/>
      <c r="K570" s="109"/>
      <c r="L570" s="109"/>
      <c r="M570" s="1112"/>
      <c r="O570" s="1108"/>
      <c r="P570" s="121"/>
      <c r="Q570" s="121"/>
      <c r="R570" s="121"/>
    </row>
    <row r="571" spans="2:18">
      <c r="B571" s="106"/>
      <c r="C571" s="477"/>
      <c r="D571" s="106"/>
      <c r="E571" s="109"/>
      <c r="F571" s="476"/>
      <c r="G571" s="1111"/>
      <c r="H571" s="109"/>
      <c r="I571" s="109"/>
      <c r="J571" s="109"/>
      <c r="K571" s="109"/>
      <c r="L571" s="109"/>
      <c r="M571" s="1112"/>
      <c r="O571" s="1108"/>
      <c r="P571" s="121"/>
      <c r="Q571" s="121"/>
      <c r="R571" s="121"/>
    </row>
    <row r="572" spans="2:18">
      <c r="B572" s="106"/>
      <c r="C572" s="477"/>
      <c r="D572" s="106"/>
      <c r="E572" s="109"/>
      <c r="F572" s="476"/>
      <c r="G572" s="1111"/>
      <c r="H572" s="109"/>
      <c r="I572" s="109"/>
      <c r="J572" s="109"/>
      <c r="K572" s="109"/>
      <c r="L572" s="109"/>
      <c r="M572" s="1112"/>
      <c r="O572" s="1108"/>
      <c r="P572" s="121"/>
      <c r="Q572" s="121"/>
      <c r="R572" s="121"/>
    </row>
    <row r="573" spans="2:18">
      <c r="B573" s="106"/>
      <c r="C573" s="477"/>
      <c r="D573" s="106"/>
      <c r="E573" s="109"/>
      <c r="F573" s="476"/>
      <c r="G573" s="1111"/>
      <c r="H573" s="109"/>
      <c r="I573" s="109"/>
      <c r="J573" s="109"/>
      <c r="K573" s="109"/>
      <c r="L573" s="109"/>
      <c r="M573" s="1112"/>
      <c r="O573" s="1108"/>
      <c r="P573" s="121"/>
      <c r="Q573" s="121"/>
      <c r="R573" s="121"/>
    </row>
    <row r="574" spans="2:18">
      <c r="B574" s="106"/>
      <c r="C574" s="477"/>
      <c r="D574" s="106"/>
      <c r="E574" s="109"/>
      <c r="F574" s="476"/>
      <c r="G574" s="1111"/>
      <c r="H574" s="109"/>
      <c r="I574" s="109"/>
      <c r="J574" s="109"/>
      <c r="K574" s="109"/>
      <c r="L574" s="109"/>
      <c r="M574" s="1112"/>
      <c r="O574" s="1108"/>
      <c r="P574" s="121"/>
      <c r="Q574" s="121"/>
      <c r="R574" s="121"/>
    </row>
    <row r="575" spans="2:18">
      <c r="B575" s="106"/>
      <c r="C575" s="477"/>
      <c r="D575" s="106"/>
      <c r="E575" s="109"/>
      <c r="F575" s="476"/>
      <c r="G575" s="1111"/>
      <c r="H575" s="109"/>
      <c r="I575" s="109"/>
      <c r="J575" s="109"/>
      <c r="K575" s="109"/>
      <c r="L575" s="109"/>
      <c r="M575" s="1112"/>
      <c r="O575" s="1108"/>
      <c r="P575" s="121"/>
      <c r="Q575" s="121"/>
      <c r="R575" s="121"/>
    </row>
    <row r="576" spans="2:18">
      <c r="B576" s="106"/>
      <c r="C576" s="477"/>
      <c r="D576" s="106"/>
      <c r="E576" s="109"/>
      <c r="F576" s="476"/>
      <c r="G576" s="1111"/>
      <c r="H576" s="109"/>
      <c r="I576" s="109"/>
      <c r="J576" s="109"/>
      <c r="K576" s="109"/>
      <c r="L576" s="109"/>
      <c r="M576" s="1112"/>
      <c r="O576" s="1108"/>
      <c r="P576" s="121"/>
      <c r="Q576" s="121"/>
      <c r="R576" s="121"/>
    </row>
    <row r="577" spans="2:18">
      <c r="B577" s="106"/>
      <c r="C577" s="477"/>
      <c r="D577" s="106"/>
      <c r="E577" s="109"/>
      <c r="F577" s="476"/>
      <c r="G577" s="1111"/>
      <c r="H577" s="109"/>
      <c r="I577" s="109"/>
      <c r="J577" s="109"/>
      <c r="K577" s="109"/>
      <c r="L577" s="109"/>
      <c r="M577" s="1112"/>
      <c r="O577" s="1108"/>
      <c r="P577" s="121"/>
      <c r="Q577" s="121"/>
      <c r="R577" s="121"/>
    </row>
    <row r="578" spans="2:18">
      <c r="B578" s="106"/>
      <c r="C578" s="477"/>
      <c r="D578" s="106"/>
      <c r="E578" s="109"/>
      <c r="F578" s="476"/>
      <c r="G578" s="1111"/>
      <c r="H578" s="109"/>
      <c r="I578" s="109"/>
      <c r="J578" s="109"/>
      <c r="K578" s="109"/>
      <c r="L578" s="109"/>
      <c r="M578" s="1112"/>
      <c r="O578" s="1108"/>
      <c r="P578" s="121"/>
      <c r="Q578" s="121"/>
      <c r="R578" s="121"/>
    </row>
    <row r="579" spans="2:18">
      <c r="B579" s="106"/>
      <c r="C579" s="477"/>
      <c r="D579" s="106"/>
      <c r="E579" s="109"/>
      <c r="F579" s="476"/>
      <c r="G579" s="1111"/>
      <c r="H579" s="109"/>
      <c r="I579" s="109"/>
      <c r="J579" s="109"/>
      <c r="K579" s="109"/>
      <c r="L579" s="109"/>
      <c r="M579" s="1112"/>
      <c r="O579" s="1108"/>
      <c r="P579" s="121"/>
      <c r="Q579" s="121"/>
      <c r="R579" s="121"/>
    </row>
    <row r="580" spans="2:18">
      <c r="B580" s="106"/>
      <c r="C580" s="477"/>
      <c r="D580" s="106"/>
      <c r="E580" s="109"/>
      <c r="F580" s="476"/>
      <c r="G580" s="1111"/>
      <c r="H580" s="109"/>
      <c r="I580" s="109"/>
      <c r="J580" s="109"/>
      <c r="K580" s="109"/>
      <c r="L580" s="109"/>
      <c r="M580" s="1112"/>
      <c r="O580" s="1108"/>
      <c r="P580" s="121"/>
      <c r="Q580" s="121"/>
      <c r="R580" s="121"/>
    </row>
    <row r="581" spans="2:18">
      <c r="B581" s="106"/>
      <c r="C581" s="477"/>
      <c r="D581" s="106"/>
      <c r="E581" s="109"/>
      <c r="F581" s="476"/>
      <c r="G581" s="1111"/>
      <c r="H581" s="109"/>
      <c r="I581" s="109"/>
      <c r="J581" s="109"/>
      <c r="K581" s="109"/>
      <c r="L581" s="109"/>
      <c r="M581" s="1112"/>
      <c r="O581" s="1108"/>
      <c r="P581" s="121"/>
      <c r="Q581" s="121"/>
      <c r="R581" s="121"/>
    </row>
    <row r="582" spans="2:18">
      <c r="B582" s="106"/>
      <c r="C582" s="477"/>
      <c r="D582" s="106"/>
      <c r="E582" s="109"/>
      <c r="F582" s="476"/>
      <c r="G582" s="1111"/>
      <c r="H582" s="109"/>
      <c r="I582" s="109"/>
      <c r="J582" s="109"/>
      <c r="K582" s="109"/>
      <c r="L582" s="109"/>
      <c r="M582" s="1112"/>
      <c r="O582" s="1108"/>
      <c r="P582" s="121"/>
      <c r="Q582" s="121"/>
      <c r="R582" s="121"/>
    </row>
    <row r="583" spans="2:18">
      <c r="B583" s="106"/>
      <c r="C583" s="477"/>
      <c r="D583" s="106"/>
      <c r="E583" s="109"/>
      <c r="F583" s="476"/>
      <c r="G583" s="1111"/>
      <c r="H583" s="109"/>
      <c r="I583" s="109"/>
      <c r="J583" s="109"/>
      <c r="K583" s="109"/>
      <c r="L583" s="109"/>
      <c r="M583" s="1112"/>
      <c r="O583" s="1108"/>
      <c r="P583" s="121"/>
      <c r="Q583" s="121"/>
      <c r="R583" s="121"/>
    </row>
    <row r="584" spans="2:18">
      <c r="B584" s="106"/>
      <c r="C584" s="477"/>
      <c r="D584" s="106"/>
      <c r="E584" s="109"/>
      <c r="F584" s="476"/>
      <c r="G584" s="1111"/>
      <c r="H584" s="109"/>
      <c r="I584" s="109"/>
      <c r="J584" s="109"/>
      <c r="K584" s="109"/>
      <c r="L584" s="109"/>
      <c r="M584" s="1112"/>
      <c r="O584" s="1108"/>
      <c r="P584" s="121"/>
      <c r="Q584" s="121"/>
      <c r="R584" s="121"/>
    </row>
    <row r="585" spans="2:18">
      <c r="B585" s="106"/>
      <c r="C585" s="477"/>
      <c r="D585" s="106"/>
      <c r="E585" s="109"/>
      <c r="F585" s="476"/>
      <c r="G585" s="1111"/>
      <c r="H585" s="109"/>
      <c r="I585" s="109"/>
      <c r="J585" s="109"/>
      <c r="K585" s="109"/>
      <c r="L585" s="109"/>
      <c r="M585" s="1112"/>
      <c r="O585" s="1108"/>
      <c r="P585" s="121"/>
      <c r="Q585" s="121"/>
      <c r="R585" s="121"/>
    </row>
    <row r="586" spans="2:18">
      <c r="B586" s="106"/>
      <c r="C586" s="477"/>
      <c r="D586" s="106"/>
      <c r="E586" s="109"/>
      <c r="F586" s="476"/>
      <c r="G586" s="1111"/>
      <c r="H586" s="109"/>
      <c r="I586" s="109"/>
      <c r="J586" s="109"/>
      <c r="K586" s="109"/>
      <c r="L586" s="109"/>
      <c r="M586" s="1112"/>
      <c r="O586" s="1108"/>
      <c r="P586" s="121"/>
      <c r="Q586" s="121"/>
      <c r="R586" s="121"/>
    </row>
    <row r="587" spans="2:18">
      <c r="B587" s="106"/>
      <c r="C587" s="477"/>
      <c r="D587" s="106"/>
      <c r="E587" s="109"/>
      <c r="F587" s="476"/>
      <c r="G587" s="1111"/>
      <c r="H587" s="109"/>
      <c r="I587" s="109"/>
      <c r="J587" s="109"/>
      <c r="K587" s="109"/>
      <c r="L587" s="109"/>
      <c r="M587" s="1112"/>
      <c r="O587" s="1108"/>
      <c r="P587" s="121"/>
      <c r="Q587" s="121"/>
      <c r="R587" s="121"/>
    </row>
    <row r="588" spans="2:18">
      <c r="B588" s="106"/>
      <c r="C588" s="477"/>
      <c r="D588" s="106"/>
      <c r="E588" s="109"/>
      <c r="F588" s="476"/>
      <c r="G588" s="1111"/>
      <c r="H588" s="109"/>
      <c r="I588" s="109"/>
      <c r="J588" s="109"/>
      <c r="K588" s="109"/>
      <c r="L588" s="109"/>
      <c r="M588" s="1112"/>
      <c r="O588" s="1108"/>
      <c r="P588" s="121"/>
      <c r="Q588" s="121"/>
      <c r="R588" s="121"/>
    </row>
    <row r="589" spans="2:18">
      <c r="B589" s="106"/>
      <c r="C589" s="477"/>
      <c r="D589" s="106"/>
      <c r="E589" s="109"/>
      <c r="F589" s="476"/>
      <c r="G589" s="1111"/>
      <c r="H589" s="109"/>
      <c r="I589" s="109"/>
      <c r="J589" s="109"/>
      <c r="K589" s="109"/>
      <c r="L589" s="109"/>
      <c r="M589" s="1112"/>
      <c r="O589" s="1108"/>
      <c r="P589" s="121"/>
      <c r="Q589" s="121"/>
      <c r="R589" s="121"/>
    </row>
    <row r="590" spans="2:18">
      <c r="B590" s="106"/>
      <c r="C590" s="477"/>
      <c r="D590" s="106"/>
      <c r="E590" s="109"/>
      <c r="F590" s="476"/>
      <c r="G590" s="1111"/>
      <c r="H590" s="109"/>
      <c r="I590" s="109"/>
      <c r="J590" s="109"/>
      <c r="K590" s="109"/>
      <c r="L590" s="109"/>
      <c r="M590" s="1112"/>
      <c r="O590" s="1108"/>
      <c r="P590" s="121"/>
      <c r="Q590" s="121"/>
      <c r="R590" s="121"/>
    </row>
    <row r="591" spans="2:18">
      <c r="B591" s="106"/>
      <c r="C591" s="477"/>
      <c r="D591" s="106"/>
      <c r="E591" s="109"/>
      <c r="F591" s="476"/>
      <c r="G591" s="1111"/>
      <c r="H591" s="109"/>
      <c r="I591" s="109"/>
      <c r="J591" s="109"/>
      <c r="K591" s="109"/>
      <c r="L591" s="109"/>
      <c r="M591" s="1112"/>
      <c r="O591" s="1108"/>
      <c r="P591" s="121"/>
      <c r="Q591" s="121"/>
      <c r="R591" s="121"/>
    </row>
    <row r="592" spans="2:18">
      <c r="B592" s="106"/>
      <c r="C592" s="477"/>
      <c r="D592" s="106"/>
      <c r="E592" s="109"/>
      <c r="F592" s="476"/>
      <c r="G592" s="1111"/>
      <c r="H592" s="109"/>
      <c r="I592" s="109"/>
      <c r="J592" s="109"/>
      <c r="K592" s="109"/>
      <c r="L592" s="109"/>
      <c r="M592" s="1112"/>
      <c r="O592" s="1108"/>
      <c r="P592" s="121"/>
      <c r="Q592" s="121"/>
      <c r="R592" s="121"/>
    </row>
    <row r="593" spans="2:18">
      <c r="B593" s="106"/>
      <c r="C593" s="477"/>
      <c r="D593" s="106"/>
      <c r="E593" s="109"/>
      <c r="F593" s="476"/>
      <c r="G593" s="1111"/>
      <c r="H593" s="109"/>
      <c r="I593" s="109"/>
      <c r="J593" s="109"/>
      <c r="K593" s="109"/>
      <c r="L593" s="109"/>
      <c r="M593" s="1112"/>
      <c r="O593" s="1108"/>
      <c r="P593" s="121"/>
      <c r="Q593" s="121"/>
      <c r="R593" s="121"/>
    </row>
    <row r="594" spans="2:18">
      <c r="B594" s="106"/>
      <c r="C594" s="477"/>
      <c r="D594" s="106"/>
      <c r="E594" s="109"/>
      <c r="F594" s="476"/>
      <c r="G594" s="1111"/>
      <c r="H594" s="109"/>
      <c r="I594" s="109"/>
      <c r="J594" s="109"/>
      <c r="K594" s="109"/>
      <c r="L594" s="109"/>
      <c r="M594" s="1112"/>
      <c r="O594" s="1108"/>
      <c r="P594" s="121"/>
      <c r="Q594" s="121"/>
      <c r="R594" s="121"/>
    </row>
    <row r="595" spans="2:18">
      <c r="B595" s="106"/>
      <c r="C595" s="477"/>
      <c r="D595" s="106"/>
      <c r="E595" s="109"/>
      <c r="F595" s="476"/>
      <c r="G595" s="1111"/>
      <c r="H595" s="109"/>
      <c r="I595" s="109"/>
      <c r="J595" s="109"/>
      <c r="K595" s="109"/>
      <c r="L595" s="109"/>
      <c r="M595" s="1112"/>
      <c r="O595" s="1108"/>
      <c r="P595" s="121"/>
      <c r="Q595" s="121"/>
      <c r="R595" s="121"/>
    </row>
    <row r="596" spans="2:18">
      <c r="B596" s="106"/>
      <c r="C596" s="477"/>
      <c r="D596" s="106"/>
      <c r="E596" s="109"/>
      <c r="F596" s="476"/>
      <c r="G596" s="1111"/>
      <c r="H596" s="109"/>
      <c r="I596" s="109"/>
      <c r="J596" s="109"/>
      <c r="K596" s="109"/>
      <c r="L596" s="109"/>
      <c r="M596" s="1112"/>
      <c r="O596" s="1108"/>
      <c r="P596" s="121"/>
      <c r="Q596" s="121"/>
      <c r="R596" s="121"/>
    </row>
    <row r="597" spans="2:18">
      <c r="B597" s="106"/>
      <c r="C597" s="477"/>
      <c r="D597" s="106"/>
      <c r="E597" s="109"/>
      <c r="F597" s="476"/>
      <c r="G597" s="1111"/>
      <c r="H597" s="109"/>
      <c r="I597" s="109"/>
      <c r="J597" s="109"/>
      <c r="K597" s="109"/>
      <c r="L597" s="109"/>
      <c r="M597" s="1112"/>
      <c r="O597" s="1108"/>
      <c r="P597" s="121"/>
      <c r="Q597" s="121"/>
      <c r="R597" s="121"/>
    </row>
    <row r="598" spans="2:18">
      <c r="B598" s="106"/>
      <c r="C598" s="477"/>
      <c r="D598" s="106"/>
      <c r="E598" s="109"/>
      <c r="F598" s="476"/>
      <c r="G598" s="1111"/>
      <c r="H598" s="109"/>
      <c r="I598" s="109"/>
      <c r="J598" s="109"/>
      <c r="K598" s="109"/>
      <c r="L598" s="109"/>
      <c r="M598" s="1112"/>
      <c r="O598" s="1108"/>
      <c r="P598" s="121"/>
      <c r="Q598" s="121"/>
      <c r="R598" s="121"/>
    </row>
    <row r="599" spans="2:18">
      <c r="B599" s="106"/>
      <c r="C599" s="477"/>
      <c r="D599" s="106"/>
      <c r="E599" s="109"/>
      <c r="F599" s="476"/>
      <c r="G599" s="1111"/>
      <c r="H599" s="109"/>
      <c r="I599" s="109"/>
      <c r="J599" s="109"/>
      <c r="K599" s="109"/>
      <c r="L599" s="109"/>
      <c r="M599" s="1112"/>
      <c r="O599" s="1108"/>
      <c r="P599" s="121"/>
      <c r="Q599" s="121"/>
      <c r="R599" s="121"/>
    </row>
    <row r="600" spans="2:18">
      <c r="B600" s="106"/>
      <c r="C600" s="477"/>
      <c r="D600" s="106"/>
      <c r="E600" s="109"/>
      <c r="F600" s="476"/>
      <c r="G600" s="1111"/>
      <c r="H600" s="109"/>
      <c r="I600" s="109"/>
      <c r="J600" s="109"/>
      <c r="K600" s="109"/>
      <c r="L600" s="109"/>
      <c r="M600" s="1112"/>
      <c r="O600" s="1108"/>
      <c r="P600" s="121"/>
      <c r="Q600" s="121"/>
      <c r="R600" s="121"/>
    </row>
    <row r="601" spans="2:18">
      <c r="B601" s="106"/>
      <c r="C601" s="477"/>
      <c r="D601" s="106"/>
      <c r="E601" s="109"/>
      <c r="F601" s="476"/>
      <c r="G601" s="1111"/>
      <c r="H601" s="109"/>
      <c r="I601" s="109"/>
      <c r="J601" s="109"/>
      <c r="K601" s="109"/>
      <c r="L601" s="109"/>
      <c r="M601" s="1112"/>
      <c r="O601" s="1108"/>
      <c r="P601" s="121"/>
      <c r="Q601" s="121"/>
      <c r="R601" s="121"/>
    </row>
    <row r="602" spans="2:18">
      <c r="B602" s="106"/>
      <c r="C602" s="477"/>
      <c r="D602" s="106"/>
      <c r="E602" s="109"/>
      <c r="F602" s="476"/>
      <c r="G602" s="1111"/>
      <c r="H602" s="109"/>
      <c r="I602" s="109"/>
      <c r="J602" s="109"/>
      <c r="K602" s="109"/>
      <c r="L602" s="109"/>
      <c r="M602" s="1112"/>
      <c r="O602" s="1108"/>
      <c r="P602" s="121"/>
      <c r="Q602" s="121"/>
      <c r="R602" s="121"/>
    </row>
    <row r="603" spans="2:18">
      <c r="B603" s="106"/>
      <c r="C603" s="477"/>
      <c r="D603" s="106"/>
      <c r="E603" s="109"/>
      <c r="F603" s="476"/>
      <c r="G603" s="1111"/>
      <c r="H603" s="109"/>
      <c r="I603" s="109"/>
      <c r="J603" s="109"/>
      <c r="K603" s="109"/>
      <c r="L603" s="109"/>
      <c r="M603" s="1112"/>
      <c r="O603" s="1108"/>
      <c r="P603" s="121"/>
      <c r="Q603" s="121"/>
      <c r="R603" s="121"/>
    </row>
    <row r="604" spans="2:18">
      <c r="B604" s="106"/>
      <c r="C604" s="477"/>
      <c r="D604" s="106"/>
      <c r="E604" s="109"/>
      <c r="F604" s="476"/>
      <c r="G604" s="1111"/>
      <c r="H604" s="109"/>
      <c r="I604" s="109"/>
      <c r="J604" s="109"/>
      <c r="K604" s="109"/>
      <c r="L604" s="109"/>
      <c r="M604" s="1112"/>
      <c r="O604" s="1108"/>
      <c r="P604" s="121"/>
      <c r="Q604" s="121"/>
      <c r="R604" s="121"/>
    </row>
    <row r="605" spans="2:18">
      <c r="B605" s="106"/>
      <c r="C605" s="477"/>
      <c r="D605" s="106"/>
      <c r="E605" s="109"/>
      <c r="F605" s="476"/>
      <c r="G605" s="1111"/>
      <c r="H605" s="109"/>
      <c r="I605" s="109"/>
      <c r="J605" s="109"/>
      <c r="K605" s="109"/>
      <c r="L605" s="109"/>
      <c r="M605" s="1112"/>
      <c r="O605" s="1108"/>
      <c r="P605" s="121"/>
      <c r="Q605" s="121"/>
      <c r="R605" s="121"/>
    </row>
    <row r="606" spans="2:18">
      <c r="B606" s="106"/>
      <c r="C606" s="477"/>
      <c r="D606" s="106"/>
      <c r="E606" s="109"/>
      <c r="F606" s="476"/>
      <c r="G606" s="1111"/>
      <c r="H606" s="109"/>
      <c r="I606" s="109"/>
      <c r="J606" s="109"/>
      <c r="K606" s="109"/>
      <c r="L606" s="109"/>
      <c r="M606" s="1112"/>
      <c r="O606" s="1108"/>
      <c r="P606" s="121"/>
      <c r="Q606" s="121"/>
      <c r="R606" s="121"/>
    </row>
    <row r="607" spans="2:18">
      <c r="B607" s="106"/>
      <c r="C607" s="477"/>
      <c r="D607" s="106"/>
      <c r="E607" s="109"/>
      <c r="F607" s="476"/>
      <c r="G607" s="1111"/>
      <c r="H607" s="109"/>
      <c r="I607" s="109"/>
      <c r="J607" s="109"/>
      <c r="K607" s="109"/>
      <c r="L607" s="109"/>
      <c r="M607" s="1112"/>
      <c r="O607" s="1108"/>
      <c r="P607" s="121"/>
      <c r="Q607" s="121"/>
      <c r="R607" s="121"/>
    </row>
    <row r="608" spans="2:18">
      <c r="B608" s="106"/>
      <c r="C608" s="477"/>
      <c r="D608" s="106"/>
      <c r="E608" s="109"/>
      <c r="F608" s="476"/>
      <c r="G608" s="1111"/>
      <c r="H608" s="109"/>
      <c r="I608" s="109"/>
      <c r="J608" s="109"/>
      <c r="K608" s="109"/>
      <c r="L608" s="109"/>
      <c r="M608" s="1112"/>
      <c r="O608" s="1108"/>
      <c r="P608" s="121"/>
      <c r="Q608" s="121"/>
      <c r="R608" s="121"/>
    </row>
    <row r="609" spans="2:18">
      <c r="B609" s="106"/>
      <c r="C609" s="477"/>
      <c r="D609" s="106"/>
      <c r="E609" s="109"/>
      <c r="F609" s="476"/>
      <c r="G609" s="1111"/>
      <c r="H609" s="109"/>
      <c r="I609" s="109"/>
      <c r="J609" s="109"/>
      <c r="K609" s="109"/>
      <c r="L609" s="109"/>
      <c r="M609" s="1112"/>
      <c r="O609" s="1108"/>
      <c r="P609" s="121"/>
      <c r="Q609" s="121"/>
      <c r="R609" s="121"/>
    </row>
    <row r="610" spans="2:18">
      <c r="B610" s="106"/>
      <c r="C610" s="477"/>
      <c r="D610" s="106"/>
      <c r="E610" s="109"/>
      <c r="F610" s="476"/>
      <c r="G610" s="1111"/>
      <c r="H610" s="109"/>
      <c r="I610" s="109"/>
      <c r="J610" s="109"/>
      <c r="K610" s="109"/>
      <c r="L610" s="109"/>
      <c r="M610" s="1112"/>
      <c r="O610" s="1108"/>
      <c r="P610" s="121"/>
      <c r="Q610" s="121"/>
      <c r="R610" s="121"/>
    </row>
    <row r="611" spans="2:18">
      <c r="B611" s="106"/>
      <c r="C611" s="477"/>
      <c r="D611" s="106"/>
      <c r="E611" s="109"/>
      <c r="F611" s="476"/>
      <c r="G611" s="1111"/>
      <c r="H611" s="109"/>
      <c r="I611" s="109"/>
      <c r="J611" s="109"/>
      <c r="K611" s="109"/>
      <c r="L611" s="109"/>
      <c r="M611" s="1112"/>
      <c r="O611" s="1108"/>
      <c r="P611" s="121"/>
      <c r="Q611" s="121"/>
      <c r="R611" s="121"/>
    </row>
    <row r="612" spans="2:18">
      <c r="B612" s="106"/>
      <c r="C612" s="477"/>
      <c r="D612" s="106"/>
      <c r="E612" s="109"/>
      <c r="F612" s="476"/>
      <c r="G612" s="1111"/>
      <c r="H612" s="109"/>
      <c r="I612" s="109"/>
      <c r="J612" s="109"/>
      <c r="K612" s="109"/>
      <c r="L612" s="109"/>
      <c r="M612" s="1112"/>
      <c r="O612" s="1108"/>
      <c r="P612" s="121"/>
      <c r="Q612" s="121"/>
      <c r="R612" s="121"/>
    </row>
    <row r="613" spans="2:18">
      <c r="B613" s="106"/>
      <c r="C613" s="477"/>
      <c r="D613" s="106"/>
      <c r="E613" s="109"/>
      <c r="F613" s="476"/>
      <c r="G613" s="1111"/>
      <c r="H613" s="109"/>
      <c r="I613" s="109"/>
      <c r="J613" s="109"/>
      <c r="K613" s="109"/>
      <c r="L613" s="109"/>
      <c r="M613" s="1112"/>
      <c r="O613" s="1108"/>
      <c r="P613" s="121"/>
      <c r="Q613" s="121"/>
      <c r="R613" s="121"/>
    </row>
    <row r="614" spans="2:18">
      <c r="B614" s="106"/>
      <c r="C614" s="477"/>
      <c r="D614" s="106"/>
      <c r="E614" s="109"/>
      <c r="F614" s="476"/>
      <c r="G614" s="1111"/>
      <c r="H614" s="109"/>
      <c r="I614" s="109"/>
      <c r="J614" s="109"/>
      <c r="K614" s="109"/>
      <c r="L614" s="109"/>
      <c r="M614" s="1112"/>
      <c r="O614" s="1108"/>
      <c r="P614" s="121"/>
      <c r="Q614" s="121"/>
      <c r="R614" s="121"/>
    </row>
    <row r="615" spans="2:18">
      <c r="B615" s="106"/>
      <c r="C615" s="477"/>
      <c r="D615" s="106"/>
      <c r="E615" s="109"/>
      <c r="F615" s="476"/>
      <c r="G615" s="1111"/>
      <c r="H615" s="109"/>
      <c r="I615" s="109"/>
      <c r="J615" s="109"/>
      <c r="K615" s="109"/>
      <c r="L615" s="109"/>
      <c r="M615" s="1112"/>
      <c r="O615" s="1108"/>
      <c r="P615" s="121"/>
      <c r="Q615" s="121"/>
      <c r="R615" s="121"/>
    </row>
    <row r="616" spans="2:18">
      <c r="B616" s="106"/>
      <c r="C616" s="477"/>
      <c r="D616" s="106"/>
      <c r="E616" s="109"/>
      <c r="F616" s="476"/>
      <c r="G616" s="1111"/>
      <c r="H616" s="109"/>
      <c r="I616" s="109"/>
      <c r="J616" s="109"/>
      <c r="K616" s="109"/>
      <c r="L616" s="109"/>
      <c r="M616" s="1112"/>
      <c r="O616" s="1108"/>
      <c r="P616" s="121"/>
      <c r="Q616" s="121"/>
      <c r="R616" s="121"/>
    </row>
    <row r="617" spans="2:18">
      <c r="B617" s="106"/>
      <c r="C617" s="477"/>
      <c r="D617" s="106"/>
      <c r="E617" s="109"/>
      <c r="F617" s="476"/>
      <c r="G617" s="1111"/>
      <c r="H617" s="109"/>
      <c r="I617" s="109"/>
      <c r="J617" s="109"/>
      <c r="K617" s="109"/>
      <c r="L617" s="109"/>
      <c r="M617" s="1112"/>
      <c r="O617" s="1108"/>
      <c r="P617" s="121"/>
      <c r="Q617" s="121"/>
      <c r="R617" s="121"/>
    </row>
    <row r="618" spans="2:18">
      <c r="B618" s="106"/>
      <c r="C618" s="477"/>
      <c r="D618" s="106"/>
      <c r="E618" s="109"/>
      <c r="F618" s="476"/>
      <c r="G618" s="1111"/>
      <c r="H618" s="109"/>
      <c r="I618" s="109"/>
      <c r="J618" s="109"/>
      <c r="K618" s="109"/>
      <c r="L618" s="109"/>
      <c r="M618" s="1112"/>
      <c r="O618" s="1108"/>
      <c r="P618" s="121"/>
      <c r="Q618" s="121"/>
      <c r="R618" s="121"/>
    </row>
    <row r="619" spans="2:18">
      <c r="B619" s="106"/>
      <c r="C619" s="477"/>
      <c r="D619" s="106"/>
      <c r="E619" s="109"/>
      <c r="F619" s="476"/>
      <c r="G619" s="1111"/>
      <c r="H619" s="109"/>
      <c r="I619" s="109"/>
      <c r="J619" s="109"/>
      <c r="K619" s="109"/>
      <c r="L619" s="109"/>
      <c r="M619" s="1112"/>
      <c r="O619" s="1108"/>
      <c r="P619" s="121"/>
      <c r="Q619" s="121"/>
      <c r="R619" s="121"/>
    </row>
    <row r="620" spans="2:18">
      <c r="B620" s="106"/>
      <c r="C620" s="477"/>
      <c r="D620" s="106"/>
      <c r="E620" s="109"/>
      <c r="F620" s="476"/>
      <c r="G620" s="1111"/>
      <c r="H620" s="109"/>
      <c r="I620" s="109"/>
      <c r="J620" s="109"/>
      <c r="K620" s="109"/>
      <c r="L620" s="109"/>
      <c r="M620" s="1112"/>
      <c r="O620" s="1108"/>
      <c r="P620" s="121"/>
      <c r="Q620" s="121"/>
      <c r="R620" s="121"/>
    </row>
    <row r="621" spans="2:18">
      <c r="B621" s="106"/>
      <c r="C621" s="477"/>
      <c r="D621" s="106"/>
      <c r="E621" s="109"/>
      <c r="F621" s="476"/>
      <c r="G621" s="1111"/>
      <c r="H621" s="109"/>
      <c r="I621" s="109"/>
      <c r="J621" s="109"/>
      <c r="K621" s="109"/>
      <c r="L621" s="109"/>
      <c r="M621" s="1112"/>
      <c r="O621" s="1108"/>
      <c r="P621" s="121"/>
      <c r="Q621" s="121"/>
      <c r="R621" s="121"/>
    </row>
    <row r="622" spans="2:18">
      <c r="B622" s="106"/>
      <c r="C622" s="477"/>
      <c r="D622" s="106"/>
      <c r="E622" s="109"/>
      <c r="F622" s="476"/>
      <c r="G622" s="1111"/>
      <c r="H622" s="109"/>
      <c r="I622" s="109"/>
      <c r="J622" s="109"/>
      <c r="K622" s="109"/>
      <c r="L622" s="109"/>
      <c r="M622" s="1112"/>
      <c r="O622" s="1108"/>
      <c r="P622" s="121"/>
      <c r="Q622" s="121"/>
      <c r="R622" s="121"/>
    </row>
    <row r="623" spans="2:18">
      <c r="B623" s="106"/>
      <c r="C623" s="477"/>
      <c r="D623" s="106"/>
      <c r="E623" s="109"/>
      <c r="F623" s="476"/>
      <c r="G623" s="1111"/>
      <c r="H623" s="109"/>
      <c r="I623" s="109"/>
      <c r="J623" s="109"/>
      <c r="K623" s="109"/>
      <c r="L623" s="109"/>
      <c r="M623" s="1112"/>
      <c r="O623" s="1108"/>
      <c r="P623" s="121"/>
      <c r="Q623" s="121"/>
      <c r="R623" s="121"/>
    </row>
    <row r="624" spans="2:18">
      <c r="B624" s="106"/>
      <c r="C624" s="477"/>
      <c r="D624" s="106"/>
      <c r="E624" s="109"/>
      <c r="F624" s="476"/>
      <c r="G624" s="1111"/>
      <c r="H624" s="109"/>
      <c r="I624" s="109"/>
      <c r="J624" s="109"/>
      <c r="K624" s="109"/>
      <c r="L624" s="109"/>
      <c r="M624" s="1112"/>
      <c r="O624" s="1108"/>
      <c r="P624" s="121"/>
      <c r="Q624" s="121"/>
      <c r="R624" s="121"/>
    </row>
    <row r="625" spans="2:18">
      <c r="B625" s="106"/>
      <c r="C625" s="477"/>
      <c r="D625" s="106"/>
      <c r="E625" s="109"/>
      <c r="F625" s="476"/>
      <c r="G625" s="1111"/>
      <c r="H625" s="109"/>
      <c r="I625" s="109"/>
      <c r="J625" s="109"/>
      <c r="K625" s="109"/>
      <c r="L625" s="109"/>
      <c r="M625" s="1112"/>
      <c r="O625" s="1108"/>
      <c r="P625" s="121"/>
      <c r="Q625" s="121"/>
      <c r="R625" s="121"/>
    </row>
    <row r="626" spans="2:18">
      <c r="B626" s="106"/>
      <c r="C626" s="477"/>
      <c r="D626" s="106"/>
      <c r="E626" s="109"/>
      <c r="F626" s="476"/>
      <c r="G626" s="1111"/>
      <c r="H626" s="109"/>
      <c r="I626" s="109"/>
      <c r="J626" s="109"/>
      <c r="K626" s="109"/>
      <c r="L626" s="109"/>
      <c r="M626" s="1112"/>
      <c r="O626" s="1108"/>
      <c r="P626" s="121"/>
      <c r="Q626" s="121"/>
      <c r="R626" s="121"/>
    </row>
    <row r="627" spans="2:18">
      <c r="B627" s="106"/>
      <c r="C627" s="477"/>
      <c r="D627" s="106"/>
      <c r="E627" s="109"/>
      <c r="F627" s="476"/>
      <c r="G627" s="1111"/>
      <c r="H627" s="109"/>
      <c r="I627" s="109"/>
      <c r="J627" s="109"/>
      <c r="K627" s="109"/>
      <c r="L627" s="109"/>
      <c r="M627" s="1112"/>
      <c r="O627" s="1108"/>
      <c r="P627" s="121"/>
      <c r="Q627" s="121"/>
      <c r="R627" s="121"/>
    </row>
    <row r="628" spans="2:18">
      <c r="B628" s="106"/>
      <c r="C628" s="477"/>
      <c r="D628" s="106"/>
      <c r="E628" s="109"/>
      <c r="F628" s="476"/>
      <c r="G628" s="1111"/>
      <c r="H628" s="109"/>
      <c r="I628" s="109"/>
      <c r="J628" s="109"/>
      <c r="K628" s="109"/>
      <c r="L628" s="109"/>
      <c r="M628" s="1112"/>
      <c r="O628" s="1108"/>
      <c r="P628" s="121"/>
      <c r="Q628" s="121"/>
      <c r="R628" s="121"/>
    </row>
    <row r="629" spans="2:18">
      <c r="B629" s="106"/>
      <c r="C629" s="477"/>
      <c r="D629" s="106"/>
      <c r="E629" s="109"/>
      <c r="F629" s="476"/>
      <c r="G629" s="1111"/>
      <c r="H629" s="109"/>
      <c r="I629" s="109"/>
      <c r="J629" s="109"/>
      <c r="K629" s="109"/>
      <c r="L629" s="109"/>
      <c r="M629" s="1112"/>
      <c r="O629" s="1108"/>
      <c r="P629" s="121"/>
      <c r="Q629" s="121"/>
      <c r="R629" s="121"/>
    </row>
    <row r="630" spans="2:18">
      <c r="B630" s="106"/>
      <c r="C630" s="477"/>
      <c r="D630" s="106"/>
      <c r="E630" s="109"/>
      <c r="F630" s="476"/>
      <c r="G630" s="1111"/>
      <c r="H630" s="109"/>
      <c r="I630" s="109"/>
      <c r="J630" s="109"/>
      <c r="K630" s="109"/>
      <c r="L630" s="109"/>
      <c r="M630" s="1112"/>
      <c r="O630" s="1108"/>
      <c r="P630" s="121"/>
      <c r="Q630" s="121"/>
      <c r="R630" s="121"/>
    </row>
    <row r="631" spans="2:18">
      <c r="B631" s="106"/>
      <c r="C631" s="477"/>
      <c r="D631" s="106"/>
      <c r="E631" s="109"/>
      <c r="F631" s="476"/>
      <c r="G631" s="1111"/>
      <c r="H631" s="109"/>
      <c r="I631" s="109"/>
      <c r="J631" s="109"/>
      <c r="K631" s="109"/>
      <c r="L631" s="109"/>
      <c r="M631" s="1112"/>
      <c r="O631" s="1108"/>
      <c r="P631" s="121"/>
      <c r="Q631" s="121"/>
      <c r="R631" s="121"/>
    </row>
    <row r="632" spans="2:18">
      <c r="B632" s="106"/>
      <c r="C632" s="477"/>
      <c r="D632" s="106"/>
      <c r="E632" s="109"/>
      <c r="F632" s="476"/>
      <c r="G632" s="1111"/>
      <c r="H632" s="109"/>
      <c r="I632" s="109"/>
      <c r="J632" s="109"/>
      <c r="K632" s="109"/>
      <c r="L632" s="109"/>
      <c r="M632" s="1112"/>
      <c r="O632" s="1108"/>
      <c r="P632" s="121"/>
      <c r="Q632" s="121"/>
      <c r="R632" s="121"/>
    </row>
    <row r="633" spans="2:18">
      <c r="B633" s="106"/>
      <c r="C633" s="477"/>
      <c r="D633" s="106"/>
      <c r="E633" s="109"/>
      <c r="F633" s="476"/>
      <c r="G633" s="1111"/>
      <c r="H633" s="109"/>
      <c r="I633" s="109"/>
      <c r="J633" s="109"/>
      <c r="K633" s="109"/>
      <c r="L633" s="109"/>
      <c r="M633" s="1112"/>
      <c r="O633" s="1108"/>
      <c r="P633" s="121"/>
      <c r="Q633" s="121"/>
      <c r="R633" s="121"/>
    </row>
    <row r="634" spans="2:18">
      <c r="B634" s="106"/>
      <c r="C634" s="477"/>
      <c r="D634" s="106"/>
      <c r="E634" s="109"/>
      <c r="F634" s="476"/>
      <c r="G634" s="1111"/>
      <c r="H634" s="109"/>
      <c r="I634" s="109"/>
      <c r="J634" s="109"/>
      <c r="K634" s="109"/>
      <c r="L634" s="109"/>
      <c r="M634" s="1112"/>
      <c r="O634" s="1108"/>
      <c r="P634" s="121"/>
      <c r="Q634" s="121"/>
      <c r="R634" s="121"/>
    </row>
    <row r="635" spans="2:18">
      <c r="B635" s="106"/>
      <c r="C635" s="477"/>
      <c r="D635" s="106"/>
      <c r="E635" s="109"/>
      <c r="F635" s="476"/>
      <c r="G635" s="1111"/>
      <c r="H635" s="109"/>
      <c r="I635" s="109"/>
      <c r="J635" s="109"/>
      <c r="K635" s="109"/>
      <c r="L635" s="109"/>
      <c r="M635" s="1112"/>
      <c r="O635" s="1108"/>
      <c r="P635" s="121"/>
      <c r="Q635" s="121"/>
      <c r="R635" s="121"/>
    </row>
    <row r="636" spans="2:18">
      <c r="B636" s="106"/>
      <c r="C636" s="477"/>
      <c r="D636" s="106"/>
      <c r="E636" s="109"/>
      <c r="F636" s="476"/>
      <c r="G636" s="1111"/>
      <c r="H636" s="109"/>
      <c r="I636" s="109"/>
      <c r="J636" s="109"/>
      <c r="K636" s="109"/>
      <c r="L636" s="109"/>
      <c r="M636" s="1112"/>
      <c r="O636" s="1108"/>
      <c r="P636" s="121"/>
      <c r="Q636" s="121"/>
      <c r="R636" s="121"/>
    </row>
    <row r="637" spans="2:18">
      <c r="B637" s="106"/>
      <c r="C637" s="477"/>
      <c r="D637" s="106"/>
      <c r="E637" s="109"/>
      <c r="F637" s="476"/>
      <c r="G637" s="1111"/>
      <c r="H637" s="109"/>
      <c r="I637" s="109"/>
      <c r="J637" s="109"/>
      <c r="K637" s="109"/>
      <c r="L637" s="109"/>
      <c r="M637" s="1112"/>
      <c r="O637" s="1108"/>
      <c r="P637" s="121"/>
      <c r="Q637" s="121"/>
      <c r="R637" s="121"/>
    </row>
    <row r="638" spans="2:18">
      <c r="B638" s="106"/>
      <c r="C638" s="477"/>
      <c r="D638" s="106"/>
      <c r="E638" s="109"/>
      <c r="F638" s="476"/>
      <c r="G638" s="1111"/>
      <c r="H638" s="109"/>
      <c r="I638" s="109"/>
      <c r="J638" s="109"/>
      <c r="K638" s="109"/>
      <c r="L638" s="109"/>
      <c r="M638" s="1112"/>
      <c r="O638" s="1108"/>
      <c r="P638" s="121"/>
      <c r="Q638" s="121"/>
      <c r="R638" s="121"/>
    </row>
    <row r="639" spans="2:18">
      <c r="B639" s="106"/>
      <c r="C639" s="477"/>
      <c r="D639" s="106"/>
      <c r="E639" s="109"/>
      <c r="F639" s="476"/>
      <c r="G639" s="1111"/>
      <c r="H639" s="109"/>
      <c r="I639" s="109"/>
      <c r="J639" s="109"/>
      <c r="K639" s="109"/>
      <c r="L639" s="109"/>
      <c r="M639" s="1112"/>
      <c r="O639" s="1108"/>
      <c r="P639" s="121"/>
      <c r="Q639" s="121"/>
      <c r="R639" s="121"/>
    </row>
    <row r="640" spans="2:18">
      <c r="B640" s="106"/>
      <c r="C640" s="477"/>
      <c r="D640" s="106"/>
      <c r="E640" s="109"/>
      <c r="F640" s="476"/>
      <c r="G640" s="1111"/>
      <c r="H640" s="109"/>
      <c r="I640" s="109"/>
      <c r="J640" s="109"/>
      <c r="K640" s="109"/>
      <c r="L640" s="109"/>
      <c r="M640" s="1112"/>
      <c r="O640" s="1108"/>
      <c r="P640" s="121"/>
      <c r="Q640" s="121"/>
      <c r="R640" s="121"/>
    </row>
    <row r="641" spans="2:18">
      <c r="B641" s="106"/>
      <c r="C641" s="477"/>
      <c r="D641" s="106"/>
      <c r="E641" s="109"/>
      <c r="F641" s="476"/>
      <c r="G641" s="1111"/>
      <c r="H641" s="109"/>
      <c r="I641" s="109"/>
      <c r="J641" s="109"/>
      <c r="K641" s="109"/>
      <c r="L641" s="109"/>
      <c r="M641" s="1112"/>
      <c r="O641" s="1108"/>
      <c r="P641" s="121"/>
      <c r="Q641" s="121"/>
      <c r="R641" s="121"/>
    </row>
    <row r="642" spans="2:18">
      <c r="B642" s="106"/>
      <c r="C642" s="477"/>
      <c r="D642" s="106"/>
      <c r="E642" s="109"/>
      <c r="F642" s="476"/>
      <c r="G642" s="1111"/>
      <c r="H642" s="109"/>
      <c r="I642" s="109"/>
      <c r="J642" s="109"/>
      <c r="K642" s="109"/>
      <c r="L642" s="109"/>
      <c r="M642" s="1112"/>
      <c r="O642" s="1108"/>
      <c r="P642" s="121"/>
      <c r="Q642" s="121"/>
      <c r="R642" s="121"/>
    </row>
    <row r="643" spans="2:18">
      <c r="B643" s="106"/>
      <c r="C643" s="477"/>
      <c r="D643" s="106"/>
      <c r="E643" s="109"/>
      <c r="F643" s="476"/>
      <c r="G643" s="1111"/>
      <c r="H643" s="109"/>
      <c r="I643" s="109"/>
      <c r="J643" s="109"/>
      <c r="K643" s="109"/>
      <c r="L643" s="109"/>
      <c r="M643" s="1112"/>
      <c r="O643" s="1108"/>
      <c r="P643" s="121"/>
      <c r="Q643" s="121"/>
      <c r="R643" s="121"/>
    </row>
    <row r="644" spans="2:18">
      <c r="B644" s="106"/>
      <c r="C644" s="477"/>
      <c r="D644" s="106"/>
      <c r="E644" s="109"/>
      <c r="F644" s="476"/>
      <c r="G644" s="1111"/>
      <c r="H644" s="109"/>
      <c r="I644" s="109"/>
      <c r="J644" s="109"/>
      <c r="K644" s="109"/>
      <c r="L644" s="109"/>
      <c r="M644" s="1112"/>
      <c r="O644" s="1108"/>
      <c r="P644" s="121"/>
      <c r="Q644" s="121"/>
      <c r="R644" s="121"/>
    </row>
    <row r="645" spans="2:18">
      <c r="B645" s="106"/>
      <c r="C645" s="477"/>
      <c r="D645" s="106"/>
      <c r="E645" s="109"/>
      <c r="F645" s="476"/>
      <c r="G645" s="1111"/>
      <c r="H645" s="109"/>
      <c r="I645" s="109"/>
      <c r="J645" s="109"/>
      <c r="K645" s="109"/>
      <c r="L645" s="109"/>
      <c r="M645" s="1112"/>
      <c r="O645" s="1108"/>
      <c r="P645" s="121"/>
      <c r="Q645" s="121"/>
      <c r="R645" s="121"/>
    </row>
    <row r="646" spans="2:18">
      <c r="B646" s="106"/>
      <c r="C646" s="477"/>
      <c r="D646" s="106"/>
      <c r="E646" s="109"/>
      <c r="F646" s="476"/>
      <c r="G646" s="1111"/>
      <c r="H646" s="109"/>
      <c r="I646" s="109"/>
      <c r="J646" s="109"/>
      <c r="K646" s="109"/>
      <c r="L646" s="109"/>
      <c r="M646" s="1112"/>
      <c r="O646" s="1108"/>
      <c r="P646" s="121"/>
      <c r="Q646" s="121"/>
      <c r="R646" s="121"/>
    </row>
    <row r="647" spans="2:18">
      <c r="B647" s="106"/>
      <c r="C647" s="477"/>
      <c r="D647" s="106"/>
      <c r="E647" s="109"/>
      <c r="F647" s="476"/>
      <c r="G647" s="1111"/>
      <c r="H647" s="109"/>
      <c r="I647" s="109"/>
      <c r="J647" s="109"/>
      <c r="K647" s="109"/>
      <c r="L647" s="109"/>
      <c r="M647" s="1112"/>
      <c r="O647" s="1108"/>
      <c r="P647" s="121"/>
      <c r="Q647" s="121"/>
      <c r="R647" s="121"/>
    </row>
    <row r="648" spans="2:18">
      <c r="B648" s="106"/>
      <c r="C648" s="477"/>
      <c r="D648" s="106"/>
      <c r="E648" s="109"/>
      <c r="F648" s="476"/>
      <c r="G648" s="1111"/>
      <c r="H648" s="109"/>
      <c r="I648" s="109"/>
      <c r="J648" s="109"/>
      <c r="K648" s="109"/>
      <c r="L648" s="109"/>
      <c r="M648" s="1112"/>
      <c r="O648" s="1108"/>
      <c r="P648" s="121"/>
      <c r="Q648" s="121"/>
      <c r="R648" s="121"/>
    </row>
    <row r="649" spans="2:18">
      <c r="B649" s="106"/>
      <c r="C649" s="477"/>
      <c r="D649" s="106"/>
      <c r="E649" s="109"/>
      <c r="F649" s="476"/>
      <c r="G649" s="1111"/>
      <c r="H649" s="109"/>
      <c r="I649" s="109"/>
      <c r="J649" s="109"/>
      <c r="K649" s="109"/>
      <c r="L649" s="109"/>
      <c r="M649" s="1112"/>
      <c r="O649" s="1108"/>
      <c r="P649" s="121"/>
      <c r="Q649" s="121"/>
      <c r="R649" s="121"/>
    </row>
    <row r="650" spans="2:18">
      <c r="B650" s="106"/>
      <c r="C650" s="477"/>
      <c r="D650" s="106"/>
      <c r="E650" s="109"/>
      <c r="F650" s="476"/>
      <c r="G650" s="1111"/>
      <c r="H650" s="109"/>
      <c r="I650" s="109"/>
      <c r="J650" s="109"/>
      <c r="K650" s="109"/>
      <c r="L650" s="109"/>
      <c r="M650" s="1112"/>
      <c r="O650" s="1108"/>
      <c r="P650" s="121"/>
      <c r="Q650" s="121"/>
      <c r="R650" s="121"/>
    </row>
    <row r="651" spans="2:18">
      <c r="B651" s="106"/>
      <c r="C651" s="477"/>
      <c r="D651" s="106"/>
      <c r="E651" s="109"/>
      <c r="F651" s="476"/>
      <c r="G651" s="1111"/>
      <c r="H651" s="109"/>
      <c r="I651" s="109"/>
      <c r="J651" s="109"/>
      <c r="K651" s="109"/>
      <c r="L651" s="109"/>
      <c r="M651" s="1112"/>
    </row>
    <row r="653" spans="2:18">
      <c r="B653" s="555" t="s">
        <v>1150</v>
      </c>
    </row>
  </sheetData>
  <mergeCells count="69">
    <mergeCell ref="B2:M2"/>
    <mergeCell ref="B3:M3"/>
    <mergeCell ref="B4:M4"/>
    <mergeCell ref="K5:M5"/>
    <mergeCell ref="B6:B8"/>
    <mergeCell ref="C6:C8"/>
    <mergeCell ref="D6:D8"/>
    <mergeCell ref="E6:E7"/>
    <mergeCell ref="F6:F8"/>
    <mergeCell ref="G6:G8"/>
    <mergeCell ref="Q7:R7"/>
    <mergeCell ref="S7:T7"/>
    <mergeCell ref="U7:V7"/>
    <mergeCell ref="F11:F91"/>
    <mergeCell ref="P11:P126"/>
    <mergeCell ref="R11:R126"/>
    <mergeCell ref="T11:T126"/>
    <mergeCell ref="V11:V126"/>
    <mergeCell ref="F92:F126"/>
    <mergeCell ref="H6:H8"/>
    <mergeCell ref="I6:I8"/>
    <mergeCell ref="J6:M6"/>
    <mergeCell ref="J7:K7"/>
    <mergeCell ref="L7:M7"/>
    <mergeCell ref="O7:P7"/>
    <mergeCell ref="F150:F164"/>
    <mergeCell ref="P150:P164"/>
    <mergeCell ref="R150:R164"/>
    <mergeCell ref="T150:T164"/>
    <mergeCell ref="V150:V164"/>
    <mergeCell ref="F128:F149"/>
    <mergeCell ref="P136:P149"/>
    <mergeCell ref="R136:R149"/>
    <mergeCell ref="T136:T149"/>
    <mergeCell ref="V136:V149"/>
    <mergeCell ref="F178:F181"/>
    <mergeCell ref="P178:P181"/>
    <mergeCell ref="R178:R181"/>
    <mergeCell ref="T178:T181"/>
    <mergeCell ref="V178:V181"/>
    <mergeCell ref="F165:F177"/>
    <mergeCell ref="P165:P177"/>
    <mergeCell ref="R165:R177"/>
    <mergeCell ref="T165:T177"/>
    <mergeCell ref="V165:V177"/>
    <mergeCell ref="F201:F206"/>
    <mergeCell ref="N182:N183"/>
    <mergeCell ref="O182:O183"/>
    <mergeCell ref="P182:P183"/>
    <mergeCell ref="Q182:Q183"/>
    <mergeCell ref="T182:T183"/>
    <mergeCell ref="U182:U183"/>
    <mergeCell ref="V182:V183"/>
    <mergeCell ref="F186:F191"/>
    <mergeCell ref="F195:F199"/>
    <mergeCell ref="R182:R183"/>
    <mergeCell ref="S182:S183"/>
    <mergeCell ref="F269:F273"/>
    <mergeCell ref="F207:F213"/>
    <mergeCell ref="F214:F220"/>
    <mergeCell ref="F226:F240"/>
    <mergeCell ref="P226:P255"/>
    <mergeCell ref="V226:V255"/>
    <mergeCell ref="F241:F255"/>
    <mergeCell ref="F256:F257"/>
    <mergeCell ref="F259:F263"/>
    <mergeCell ref="F264:F268"/>
    <mergeCell ref="R226:R255"/>
    <mergeCell ref="T226:T255"/>
  </mergeCells>
  <dataValidations count="3">
    <dataValidation type="whole" allowBlank="1" showInputMessage="1" showErrorMessage="1" errorTitle="Valor Asignado" error="Sólo se pueden introducir números en esta celda" promptTitle="Valor Asignado" prompt=" " sqref="C66169:E66175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131705:E131711 IT66169:IT66175 SP66169:SP66175 ACL66169:ACL66175 AMH66169:AMH66175 AWD66169:AWD66175 BFZ66169:BFZ66175 BPV66169:BPV66175 BZR66169:BZR66175 CJN66169:CJN66175 CTJ66169:CTJ66175 DDF66169:DDF66175 DNB66169:DNB66175 DWX66169:DWX66175 EGT66169:EGT66175 EQP66169:EQP66175 FAL66169:FAL66175 FKH66169:FKH66175 FUD66169:FUD66175 GDZ66169:GDZ66175 GNV66169:GNV66175 GXR66169:GXR66175 HHN66169:HHN66175 HRJ66169:HRJ66175 IBF66169:IBF66175 ILB66169:ILB66175 IUX66169:IUX66175 JET66169:JET66175 JOP66169:JOP66175 JYL66169:JYL66175 KIH66169:KIH66175 KSD66169:KSD66175 LBZ66169:LBZ66175 LLV66169:LLV66175 LVR66169:LVR66175 MFN66169:MFN66175 MPJ66169:MPJ66175 MZF66169:MZF66175 NJB66169:NJB66175 NSX66169:NSX66175 OCT66169:OCT66175 OMP66169:OMP66175 OWL66169:OWL66175 PGH66169:PGH66175 PQD66169:PQD66175 PZZ66169:PZZ66175 QJV66169:QJV66175 QTR66169:QTR66175 RDN66169:RDN66175 RNJ66169:RNJ66175 RXF66169:RXF66175 SHB66169:SHB66175 SQX66169:SQX66175 TAT66169:TAT66175 TKP66169:TKP66175 TUL66169:TUL66175 UEH66169:UEH66175 UOD66169:UOD66175 UXZ66169:UXZ66175 VHV66169:VHV66175 VRR66169:VRR66175 WBN66169:WBN66175 WLJ66169:WLJ66175 WVF66169:WVF66175 C197241:E197247 IT131705:IT131711 SP131705:SP131711 ACL131705:ACL131711 AMH131705:AMH131711 AWD131705:AWD131711 BFZ131705:BFZ131711 BPV131705:BPV131711 BZR131705:BZR131711 CJN131705:CJN131711 CTJ131705:CTJ131711 DDF131705:DDF131711 DNB131705:DNB131711 DWX131705:DWX131711 EGT131705:EGT131711 EQP131705:EQP131711 FAL131705:FAL131711 FKH131705:FKH131711 FUD131705:FUD131711 GDZ131705:GDZ131711 GNV131705:GNV131711 GXR131705:GXR131711 HHN131705:HHN131711 HRJ131705:HRJ131711 IBF131705:IBF131711 ILB131705:ILB131711 IUX131705:IUX131711 JET131705:JET131711 JOP131705:JOP131711 JYL131705:JYL131711 KIH131705:KIH131711 KSD131705:KSD131711 LBZ131705:LBZ131711 LLV131705:LLV131711 LVR131705:LVR131711 MFN131705:MFN131711 MPJ131705:MPJ131711 MZF131705:MZF131711 NJB131705:NJB131711 NSX131705:NSX131711 OCT131705:OCT131711 OMP131705:OMP131711 OWL131705:OWL131711 PGH131705:PGH131711 PQD131705:PQD131711 PZZ131705:PZZ131711 QJV131705:QJV131711 QTR131705:QTR131711 RDN131705:RDN131711 RNJ131705:RNJ131711 RXF131705:RXF131711 SHB131705:SHB131711 SQX131705:SQX131711 TAT131705:TAT131711 TKP131705:TKP131711 TUL131705:TUL131711 UEH131705:UEH131711 UOD131705:UOD131711 UXZ131705:UXZ131711 VHV131705:VHV131711 VRR131705:VRR131711 WBN131705:WBN131711 WLJ131705:WLJ131711 WVF131705:WVF131711 C262777:E262783 IT197241:IT197247 SP197241:SP197247 ACL197241:ACL197247 AMH197241:AMH197247 AWD197241:AWD197247 BFZ197241:BFZ197247 BPV197241:BPV197247 BZR197241:BZR197247 CJN197241:CJN197247 CTJ197241:CTJ197247 DDF197241:DDF197247 DNB197241:DNB197247 DWX197241:DWX197247 EGT197241:EGT197247 EQP197241:EQP197247 FAL197241:FAL197247 FKH197241:FKH197247 FUD197241:FUD197247 GDZ197241:GDZ197247 GNV197241:GNV197247 GXR197241:GXR197247 HHN197241:HHN197247 HRJ197241:HRJ197247 IBF197241:IBF197247 ILB197241:ILB197247 IUX197241:IUX197247 JET197241:JET197247 JOP197241:JOP197247 JYL197241:JYL197247 KIH197241:KIH197247 KSD197241:KSD197247 LBZ197241:LBZ197247 LLV197241:LLV197247 LVR197241:LVR197247 MFN197241:MFN197247 MPJ197241:MPJ197247 MZF197241:MZF197247 NJB197241:NJB197247 NSX197241:NSX197247 OCT197241:OCT197247 OMP197241:OMP197247 OWL197241:OWL197247 PGH197241:PGH197247 PQD197241:PQD197247 PZZ197241:PZZ197247 QJV197241:QJV197247 QTR197241:QTR197247 RDN197241:RDN197247 RNJ197241:RNJ197247 RXF197241:RXF197247 SHB197241:SHB197247 SQX197241:SQX197247 TAT197241:TAT197247 TKP197241:TKP197247 TUL197241:TUL197247 UEH197241:UEH197247 UOD197241:UOD197247 UXZ197241:UXZ197247 VHV197241:VHV197247 VRR197241:VRR197247 WBN197241:WBN197247 WLJ197241:WLJ197247 WVF197241:WVF197247 C328313:E328319 IT262777:IT262783 SP262777:SP262783 ACL262777:ACL262783 AMH262777:AMH262783 AWD262777:AWD262783 BFZ262777:BFZ262783 BPV262777:BPV262783 BZR262777:BZR262783 CJN262777:CJN262783 CTJ262777:CTJ262783 DDF262777:DDF262783 DNB262777:DNB262783 DWX262777:DWX262783 EGT262777:EGT262783 EQP262777:EQP262783 FAL262777:FAL262783 FKH262777:FKH262783 FUD262777:FUD262783 GDZ262777:GDZ262783 GNV262777:GNV262783 GXR262777:GXR262783 HHN262777:HHN262783 HRJ262777:HRJ262783 IBF262777:IBF262783 ILB262777:ILB262783 IUX262777:IUX262783 JET262777:JET262783 JOP262777:JOP262783 JYL262777:JYL262783 KIH262777:KIH262783 KSD262777:KSD262783 LBZ262777:LBZ262783 LLV262777:LLV262783 LVR262777:LVR262783 MFN262777:MFN262783 MPJ262777:MPJ262783 MZF262777:MZF262783 NJB262777:NJB262783 NSX262777:NSX262783 OCT262777:OCT262783 OMP262777:OMP262783 OWL262777:OWL262783 PGH262777:PGH262783 PQD262777:PQD262783 PZZ262777:PZZ262783 QJV262777:QJV262783 QTR262777:QTR262783 RDN262777:RDN262783 RNJ262777:RNJ262783 RXF262777:RXF262783 SHB262777:SHB262783 SQX262777:SQX262783 TAT262777:TAT262783 TKP262777:TKP262783 TUL262777:TUL262783 UEH262777:UEH262783 UOD262777:UOD262783 UXZ262777:UXZ262783 VHV262777:VHV262783 VRR262777:VRR262783 WBN262777:WBN262783 WLJ262777:WLJ262783 WVF262777:WVF262783 C393849:E393855 IT328313:IT328319 SP328313:SP328319 ACL328313:ACL328319 AMH328313:AMH328319 AWD328313:AWD328319 BFZ328313:BFZ328319 BPV328313:BPV328319 BZR328313:BZR328319 CJN328313:CJN328319 CTJ328313:CTJ328319 DDF328313:DDF328319 DNB328313:DNB328319 DWX328313:DWX328319 EGT328313:EGT328319 EQP328313:EQP328319 FAL328313:FAL328319 FKH328313:FKH328319 FUD328313:FUD328319 GDZ328313:GDZ328319 GNV328313:GNV328319 GXR328313:GXR328319 HHN328313:HHN328319 HRJ328313:HRJ328319 IBF328313:IBF328319 ILB328313:ILB328319 IUX328313:IUX328319 JET328313:JET328319 JOP328313:JOP328319 JYL328313:JYL328319 KIH328313:KIH328319 KSD328313:KSD328319 LBZ328313:LBZ328319 LLV328313:LLV328319 LVR328313:LVR328319 MFN328313:MFN328319 MPJ328313:MPJ328319 MZF328313:MZF328319 NJB328313:NJB328319 NSX328313:NSX328319 OCT328313:OCT328319 OMP328313:OMP328319 OWL328313:OWL328319 PGH328313:PGH328319 PQD328313:PQD328319 PZZ328313:PZZ328319 QJV328313:QJV328319 QTR328313:QTR328319 RDN328313:RDN328319 RNJ328313:RNJ328319 RXF328313:RXF328319 SHB328313:SHB328319 SQX328313:SQX328319 TAT328313:TAT328319 TKP328313:TKP328319 TUL328313:TUL328319 UEH328313:UEH328319 UOD328313:UOD328319 UXZ328313:UXZ328319 VHV328313:VHV328319 VRR328313:VRR328319 WBN328313:WBN328319 WLJ328313:WLJ328319 WVF328313:WVF328319 C459385:E459391 IT393849:IT393855 SP393849:SP393855 ACL393849:ACL393855 AMH393849:AMH393855 AWD393849:AWD393855 BFZ393849:BFZ393855 BPV393849:BPV393855 BZR393849:BZR393855 CJN393849:CJN393855 CTJ393849:CTJ393855 DDF393849:DDF393855 DNB393849:DNB393855 DWX393849:DWX393855 EGT393849:EGT393855 EQP393849:EQP393855 FAL393849:FAL393855 FKH393849:FKH393855 FUD393849:FUD393855 GDZ393849:GDZ393855 GNV393849:GNV393855 GXR393849:GXR393855 HHN393849:HHN393855 HRJ393849:HRJ393855 IBF393849:IBF393855 ILB393849:ILB393855 IUX393849:IUX393855 JET393849:JET393855 JOP393849:JOP393855 JYL393849:JYL393855 KIH393849:KIH393855 KSD393849:KSD393855 LBZ393849:LBZ393855 LLV393849:LLV393855 LVR393849:LVR393855 MFN393849:MFN393855 MPJ393849:MPJ393855 MZF393849:MZF393855 NJB393849:NJB393855 NSX393849:NSX393855 OCT393849:OCT393855 OMP393849:OMP393855 OWL393849:OWL393855 PGH393849:PGH393855 PQD393849:PQD393855 PZZ393849:PZZ393855 QJV393849:QJV393855 QTR393849:QTR393855 RDN393849:RDN393855 RNJ393849:RNJ393855 RXF393849:RXF393855 SHB393849:SHB393855 SQX393849:SQX393855 TAT393849:TAT393855 TKP393849:TKP393855 TUL393849:TUL393855 UEH393849:UEH393855 UOD393849:UOD393855 UXZ393849:UXZ393855 VHV393849:VHV393855 VRR393849:VRR393855 WBN393849:WBN393855 WLJ393849:WLJ393855 WVF393849:WVF393855 C524921:E524927 IT459385:IT459391 SP459385:SP459391 ACL459385:ACL459391 AMH459385:AMH459391 AWD459385:AWD459391 BFZ459385:BFZ459391 BPV459385:BPV459391 BZR459385:BZR459391 CJN459385:CJN459391 CTJ459385:CTJ459391 DDF459385:DDF459391 DNB459385:DNB459391 DWX459385:DWX459391 EGT459385:EGT459391 EQP459385:EQP459391 FAL459385:FAL459391 FKH459385:FKH459391 FUD459385:FUD459391 GDZ459385:GDZ459391 GNV459385:GNV459391 GXR459385:GXR459391 HHN459385:HHN459391 HRJ459385:HRJ459391 IBF459385:IBF459391 ILB459385:ILB459391 IUX459385:IUX459391 JET459385:JET459391 JOP459385:JOP459391 JYL459385:JYL459391 KIH459385:KIH459391 KSD459385:KSD459391 LBZ459385:LBZ459391 LLV459385:LLV459391 LVR459385:LVR459391 MFN459385:MFN459391 MPJ459385:MPJ459391 MZF459385:MZF459391 NJB459385:NJB459391 NSX459385:NSX459391 OCT459385:OCT459391 OMP459385:OMP459391 OWL459385:OWL459391 PGH459385:PGH459391 PQD459385:PQD459391 PZZ459385:PZZ459391 QJV459385:QJV459391 QTR459385:QTR459391 RDN459385:RDN459391 RNJ459385:RNJ459391 RXF459385:RXF459391 SHB459385:SHB459391 SQX459385:SQX459391 TAT459385:TAT459391 TKP459385:TKP459391 TUL459385:TUL459391 UEH459385:UEH459391 UOD459385:UOD459391 UXZ459385:UXZ459391 VHV459385:VHV459391 VRR459385:VRR459391 WBN459385:WBN459391 WLJ459385:WLJ459391 WVF459385:WVF459391 C590457:E590463 IT524921:IT524927 SP524921:SP524927 ACL524921:ACL524927 AMH524921:AMH524927 AWD524921:AWD524927 BFZ524921:BFZ524927 BPV524921:BPV524927 BZR524921:BZR524927 CJN524921:CJN524927 CTJ524921:CTJ524927 DDF524921:DDF524927 DNB524921:DNB524927 DWX524921:DWX524927 EGT524921:EGT524927 EQP524921:EQP524927 FAL524921:FAL524927 FKH524921:FKH524927 FUD524921:FUD524927 GDZ524921:GDZ524927 GNV524921:GNV524927 GXR524921:GXR524927 HHN524921:HHN524927 HRJ524921:HRJ524927 IBF524921:IBF524927 ILB524921:ILB524927 IUX524921:IUX524927 JET524921:JET524927 JOP524921:JOP524927 JYL524921:JYL524927 KIH524921:KIH524927 KSD524921:KSD524927 LBZ524921:LBZ524927 LLV524921:LLV524927 LVR524921:LVR524927 MFN524921:MFN524927 MPJ524921:MPJ524927 MZF524921:MZF524927 NJB524921:NJB524927 NSX524921:NSX524927 OCT524921:OCT524927 OMP524921:OMP524927 OWL524921:OWL524927 PGH524921:PGH524927 PQD524921:PQD524927 PZZ524921:PZZ524927 QJV524921:QJV524927 QTR524921:QTR524927 RDN524921:RDN524927 RNJ524921:RNJ524927 RXF524921:RXF524927 SHB524921:SHB524927 SQX524921:SQX524927 TAT524921:TAT524927 TKP524921:TKP524927 TUL524921:TUL524927 UEH524921:UEH524927 UOD524921:UOD524927 UXZ524921:UXZ524927 VHV524921:VHV524927 VRR524921:VRR524927 WBN524921:WBN524927 WLJ524921:WLJ524927 WVF524921:WVF524927 C655993:E655999 IT590457:IT590463 SP590457:SP590463 ACL590457:ACL590463 AMH590457:AMH590463 AWD590457:AWD590463 BFZ590457:BFZ590463 BPV590457:BPV590463 BZR590457:BZR590463 CJN590457:CJN590463 CTJ590457:CTJ590463 DDF590457:DDF590463 DNB590457:DNB590463 DWX590457:DWX590463 EGT590457:EGT590463 EQP590457:EQP590463 FAL590457:FAL590463 FKH590457:FKH590463 FUD590457:FUD590463 GDZ590457:GDZ590463 GNV590457:GNV590463 GXR590457:GXR590463 HHN590457:HHN590463 HRJ590457:HRJ590463 IBF590457:IBF590463 ILB590457:ILB590463 IUX590457:IUX590463 JET590457:JET590463 JOP590457:JOP590463 JYL590457:JYL590463 KIH590457:KIH590463 KSD590457:KSD590463 LBZ590457:LBZ590463 LLV590457:LLV590463 LVR590457:LVR590463 MFN590457:MFN590463 MPJ590457:MPJ590463 MZF590457:MZF590463 NJB590457:NJB590463 NSX590457:NSX590463 OCT590457:OCT590463 OMP590457:OMP590463 OWL590457:OWL590463 PGH590457:PGH590463 PQD590457:PQD590463 PZZ590457:PZZ590463 QJV590457:QJV590463 QTR590457:QTR590463 RDN590457:RDN590463 RNJ590457:RNJ590463 RXF590457:RXF590463 SHB590457:SHB590463 SQX590457:SQX590463 TAT590457:TAT590463 TKP590457:TKP590463 TUL590457:TUL590463 UEH590457:UEH590463 UOD590457:UOD590463 UXZ590457:UXZ590463 VHV590457:VHV590463 VRR590457:VRR590463 WBN590457:WBN590463 WLJ590457:WLJ590463 WVF590457:WVF590463 C721529:E721535 IT655993:IT655999 SP655993:SP655999 ACL655993:ACL655999 AMH655993:AMH655999 AWD655993:AWD655999 BFZ655993:BFZ655999 BPV655993:BPV655999 BZR655993:BZR655999 CJN655993:CJN655999 CTJ655993:CTJ655999 DDF655993:DDF655999 DNB655993:DNB655999 DWX655993:DWX655999 EGT655993:EGT655999 EQP655993:EQP655999 FAL655993:FAL655999 FKH655993:FKH655999 FUD655993:FUD655999 GDZ655993:GDZ655999 GNV655993:GNV655999 GXR655993:GXR655999 HHN655993:HHN655999 HRJ655993:HRJ655999 IBF655993:IBF655999 ILB655993:ILB655999 IUX655993:IUX655999 JET655993:JET655999 JOP655993:JOP655999 JYL655993:JYL655999 KIH655993:KIH655999 KSD655993:KSD655999 LBZ655993:LBZ655999 LLV655993:LLV655999 LVR655993:LVR655999 MFN655993:MFN655999 MPJ655993:MPJ655999 MZF655993:MZF655999 NJB655993:NJB655999 NSX655993:NSX655999 OCT655993:OCT655999 OMP655993:OMP655999 OWL655993:OWL655999 PGH655993:PGH655999 PQD655993:PQD655999 PZZ655993:PZZ655999 QJV655993:QJV655999 QTR655993:QTR655999 RDN655993:RDN655999 RNJ655993:RNJ655999 RXF655993:RXF655999 SHB655993:SHB655999 SQX655993:SQX655999 TAT655993:TAT655999 TKP655993:TKP655999 TUL655993:TUL655999 UEH655993:UEH655999 UOD655993:UOD655999 UXZ655993:UXZ655999 VHV655993:VHV655999 VRR655993:VRR655999 WBN655993:WBN655999 WLJ655993:WLJ655999 WVF655993:WVF655999 C787065:E787071 IT721529:IT721535 SP721529:SP721535 ACL721529:ACL721535 AMH721529:AMH721535 AWD721529:AWD721535 BFZ721529:BFZ721535 BPV721529:BPV721535 BZR721529:BZR721535 CJN721529:CJN721535 CTJ721529:CTJ721535 DDF721529:DDF721535 DNB721529:DNB721535 DWX721529:DWX721535 EGT721529:EGT721535 EQP721529:EQP721535 FAL721529:FAL721535 FKH721529:FKH721535 FUD721529:FUD721535 GDZ721529:GDZ721535 GNV721529:GNV721535 GXR721529:GXR721535 HHN721529:HHN721535 HRJ721529:HRJ721535 IBF721529:IBF721535 ILB721529:ILB721535 IUX721529:IUX721535 JET721529:JET721535 JOP721529:JOP721535 JYL721529:JYL721535 KIH721529:KIH721535 KSD721529:KSD721535 LBZ721529:LBZ721535 LLV721529:LLV721535 LVR721529:LVR721535 MFN721529:MFN721535 MPJ721529:MPJ721535 MZF721529:MZF721535 NJB721529:NJB721535 NSX721529:NSX721535 OCT721529:OCT721535 OMP721529:OMP721535 OWL721529:OWL721535 PGH721529:PGH721535 PQD721529:PQD721535 PZZ721529:PZZ721535 QJV721529:QJV721535 QTR721529:QTR721535 RDN721529:RDN721535 RNJ721529:RNJ721535 RXF721529:RXF721535 SHB721529:SHB721535 SQX721529:SQX721535 TAT721529:TAT721535 TKP721529:TKP721535 TUL721529:TUL721535 UEH721529:UEH721535 UOD721529:UOD721535 UXZ721529:UXZ721535 VHV721529:VHV721535 VRR721529:VRR721535 WBN721529:WBN721535 WLJ721529:WLJ721535 WVF721529:WVF721535 C852601:E852607 IT787065:IT787071 SP787065:SP787071 ACL787065:ACL787071 AMH787065:AMH787071 AWD787065:AWD787071 BFZ787065:BFZ787071 BPV787065:BPV787071 BZR787065:BZR787071 CJN787065:CJN787071 CTJ787065:CTJ787071 DDF787065:DDF787071 DNB787065:DNB787071 DWX787065:DWX787071 EGT787065:EGT787071 EQP787065:EQP787071 FAL787065:FAL787071 FKH787065:FKH787071 FUD787065:FUD787071 GDZ787065:GDZ787071 GNV787065:GNV787071 GXR787065:GXR787071 HHN787065:HHN787071 HRJ787065:HRJ787071 IBF787065:IBF787071 ILB787065:ILB787071 IUX787065:IUX787071 JET787065:JET787071 JOP787065:JOP787071 JYL787065:JYL787071 KIH787065:KIH787071 KSD787065:KSD787071 LBZ787065:LBZ787071 LLV787065:LLV787071 LVR787065:LVR787071 MFN787065:MFN787071 MPJ787065:MPJ787071 MZF787065:MZF787071 NJB787065:NJB787071 NSX787065:NSX787071 OCT787065:OCT787071 OMP787065:OMP787071 OWL787065:OWL787071 PGH787065:PGH787071 PQD787065:PQD787071 PZZ787065:PZZ787071 QJV787065:QJV787071 QTR787065:QTR787071 RDN787065:RDN787071 RNJ787065:RNJ787071 RXF787065:RXF787071 SHB787065:SHB787071 SQX787065:SQX787071 TAT787065:TAT787071 TKP787065:TKP787071 TUL787065:TUL787071 UEH787065:UEH787071 UOD787065:UOD787071 UXZ787065:UXZ787071 VHV787065:VHV787071 VRR787065:VRR787071 WBN787065:WBN787071 WLJ787065:WLJ787071 WVF787065:WVF787071 C918137:E918143 IT852601:IT852607 SP852601:SP852607 ACL852601:ACL852607 AMH852601:AMH852607 AWD852601:AWD852607 BFZ852601:BFZ852607 BPV852601:BPV852607 BZR852601:BZR852607 CJN852601:CJN852607 CTJ852601:CTJ852607 DDF852601:DDF852607 DNB852601:DNB852607 DWX852601:DWX852607 EGT852601:EGT852607 EQP852601:EQP852607 FAL852601:FAL852607 FKH852601:FKH852607 FUD852601:FUD852607 GDZ852601:GDZ852607 GNV852601:GNV852607 GXR852601:GXR852607 HHN852601:HHN852607 HRJ852601:HRJ852607 IBF852601:IBF852607 ILB852601:ILB852607 IUX852601:IUX852607 JET852601:JET852607 JOP852601:JOP852607 JYL852601:JYL852607 KIH852601:KIH852607 KSD852601:KSD852607 LBZ852601:LBZ852607 LLV852601:LLV852607 LVR852601:LVR852607 MFN852601:MFN852607 MPJ852601:MPJ852607 MZF852601:MZF852607 NJB852601:NJB852607 NSX852601:NSX852607 OCT852601:OCT852607 OMP852601:OMP852607 OWL852601:OWL852607 PGH852601:PGH852607 PQD852601:PQD852607 PZZ852601:PZZ852607 QJV852601:QJV852607 QTR852601:QTR852607 RDN852601:RDN852607 RNJ852601:RNJ852607 RXF852601:RXF852607 SHB852601:SHB852607 SQX852601:SQX852607 TAT852601:TAT852607 TKP852601:TKP852607 TUL852601:TUL852607 UEH852601:UEH852607 UOD852601:UOD852607 UXZ852601:UXZ852607 VHV852601:VHV852607 VRR852601:VRR852607 WBN852601:WBN852607 WLJ852601:WLJ852607 WVF852601:WVF852607 C983673:E983679 IT918137:IT918143 SP918137:SP918143 ACL918137:ACL918143 AMH918137:AMH918143 AWD918137:AWD918143 BFZ918137:BFZ918143 BPV918137:BPV918143 BZR918137:BZR918143 CJN918137:CJN918143 CTJ918137:CTJ918143 DDF918137:DDF918143 DNB918137:DNB918143 DWX918137:DWX918143 EGT918137:EGT918143 EQP918137:EQP918143 FAL918137:FAL918143 FKH918137:FKH918143 FUD918137:FUD918143 GDZ918137:GDZ918143 GNV918137:GNV918143 GXR918137:GXR918143 HHN918137:HHN918143 HRJ918137:HRJ918143 IBF918137:IBF918143 ILB918137:ILB918143 IUX918137:IUX918143 JET918137:JET918143 JOP918137:JOP918143 JYL918137:JYL918143 KIH918137:KIH918143 KSD918137:KSD918143 LBZ918137:LBZ918143 LLV918137:LLV918143 LVR918137:LVR918143 MFN918137:MFN918143 MPJ918137:MPJ918143 MZF918137:MZF918143 NJB918137:NJB918143 NSX918137:NSX918143 OCT918137:OCT918143 OMP918137:OMP918143 OWL918137:OWL918143 PGH918137:PGH918143 PQD918137:PQD918143 PZZ918137:PZZ918143 QJV918137:QJV918143 QTR918137:QTR918143 RDN918137:RDN918143 RNJ918137:RNJ918143 RXF918137:RXF918143 SHB918137:SHB918143 SQX918137:SQX918143 TAT918137:TAT918143 TKP918137:TKP918143 TUL918137:TUL918143 UEH918137:UEH918143 UOD918137:UOD918143 UXZ918137:UXZ918143 VHV918137:VHV918143 VRR918137:VRR918143 WBN918137:WBN918143 WLJ918137:WLJ918143 WVF918137:WVF918143 WVF983673:WVF983679 IT983673:IT983679 SP983673:SP983679 ACL983673:ACL983679 AMH983673:AMH983679 AWD983673:AWD983679 BFZ983673:BFZ983679 BPV983673:BPV983679 BZR983673:BZR983679 CJN983673:CJN983679 CTJ983673:CTJ983679 DDF983673:DDF983679 DNB983673:DNB983679 DWX983673:DWX983679 EGT983673:EGT983679 EQP983673:EQP983679 FAL983673:FAL983679 FKH983673:FKH983679 FUD983673:FUD983679 GDZ983673:GDZ983679 GNV983673:GNV983679 GXR983673:GXR983679 HHN983673:HHN983679 HRJ983673:HRJ983679 IBF983673:IBF983679 ILB983673:ILB983679 IUX983673:IUX983679 JET983673:JET983679 JOP983673:JOP983679 JYL983673:JYL983679 KIH983673:KIH983679 KSD983673:KSD983679 LBZ983673:LBZ983679 LLV983673:LLV983679 LVR983673:LVR983679 MFN983673:MFN983679 MPJ983673:MPJ983679 MZF983673:MZF983679 NJB983673:NJB983679 NSX983673:NSX983679 OCT983673:OCT983679 OMP983673:OMP983679 OWL983673:OWL983679 PGH983673:PGH983679 PQD983673:PQD983679 PZZ983673:PZZ983679 QJV983673:QJV983679 QTR983673:QTR983679 RDN983673:RDN983679 RNJ983673:RNJ983679 RXF983673:RXF983679 SHB983673:SHB983679 SQX983673:SQX983679 TAT983673:TAT983679 TKP983673:TKP983679 TUL983673:TUL983679 UEH983673:UEH983679 UOD983673:UOD983679 UXZ983673:UXZ983679 VHV983673:VHV983679 VRR983673:VRR983679 WBN983673:WBN983679 WLJ983673:WLJ983679 C7:D7">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U66171:IU66175 SQ66171:SQ66175 ACM66171:ACM66175 AMI66171:AMI66175 AWE66171:AWE66175 BGA66171:BGA66175 BPW66171:BPW66175 BZS66171:BZS66175 CJO66171:CJO66175 CTK66171:CTK66175 DDG66171:DDG66175 DNC66171:DNC66175 DWY66171:DWY66175 EGU66171:EGU66175 EQQ66171:EQQ66175 FAM66171:FAM66175 FKI66171:FKI66175 FUE66171:FUE66175 GEA66171:GEA66175 GNW66171:GNW66175 GXS66171:GXS66175 HHO66171:HHO66175 HRK66171:HRK66175 IBG66171:IBG66175 ILC66171:ILC66175 IUY66171:IUY66175 JEU66171:JEU66175 JOQ66171:JOQ66175 JYM66171:JYM66175 KII66171:KII66175 KSE66171:KSE66175 LCA66171:LCA66175 LLW66171:LLW66175 LVS66171:LVS66175 MFO66171:MFO66175 MPK66171:MPK66175 MZG66171:MZG66175 NJC66171:NJC66175 NSY66171:NSY66175 OCU66171:OCU66175 OMQ66171:OMQ66175 OWM66171:OWM66175 PGI66171:PGI66175 PQE66171:PQE66175 QAA66171:QAA66175 QJW66171:QJW66175 QTS66171:QTS66175 RDO66171:RDO66175 RNK66171:RNK66175 RXG66171:RXG66175 SHC66171:SHC66175 SQY66171:SQY66175 TAU66171:TAU66175 TKQ66171:TKQ66175 TUM66171:TUM66175 UEI66171:UEI66175 UOE66171:UOE66175 UYA66171:UYA66175 VHW66171:VHW66175 VRS66171:VRS66175 WBO66171:WBO66175 WLK66171:WLK66175 WVG66171:WVG66175 IU131707:IU131711 SQ131707:SQ131711 ACM131707:ACM131711 AMI131707:AMI131711 AWE131707:AWE131711 BGA131707:BGA131711 BPW131707:BPW131711 BZS131707:BZS131711 CJO131707:CJO131711 CTK131707:CTK131711 DDG131707:DDG131711 DNC131707:DNC131711 DWY131707:DWY131711 EGU131707:EGU131711 EQQ131707:EQQ131711 FAM131707:FAM131711 FKI131707:FKI131711 FUE131707:FUE131711 GEA131707:GEA131711 GNW131707:GNW131711 GXS131707:GXS131711 HHO131707:HHO131711 HRK131707:HRK131711 IBG131707:IBG131711 ILC131707:ILC131711 IUY131707:IUY131711 JEU131707:JEU131711 JOQ131707:JOQ131711 JYM131707:JYM131711 KII131707:KII131711 KSE131707:KSE131711 LCA131707:LCA131711 LLW131707:LLW131711 LVS131707:LVS131711 MFO131707:MFO131711 MPK131707:MPK131711 MZG131707:MZG131711 NJC131707:NJC131711 NSY131707:NSY131711 OCU131707:OCU131711 OMQ131707:OMQ131711 OWM131707:OWM131711 PGI131707:PGI131711 PQE131707:PQE131711 QAA131707:QAA131711 QJW131707:QJW131711 QTS131707:QTS131711 RDO131707:RDO131711 RNK131707:RNK131711 RXG131707:RXG131711 SHC131707:SHC131711 SQY131707:SQY131711 TAU131707:TAU131711 TKQ131707:TKQ131711 TUM131707:TUM131711 UEI131707:UEI131711 UOE131707:UOE131711 UYA131707:UYA131711 VHW131707:VHW131711 VRS131707:VRS131711 WBO131707:WBO131711 WLK131707:WLK131711 WVG131707:WVG131711 IU197243:IU197247 SQ197243:SQ197247 ACM197243:ACM197247 AMI197243:AMI197247 AWE197243:AWE197247 BGA197243:BGA197247 BPW197243:BPW197247 BZS197243:BZS197247 CJO197243:CJO197247 CTK197243:CTK197247 DDG197243:DDG197247 DNC197243:DNC197247 DWY197243:DWY197247 EGU197243:EGU197247 EQQ197243:EQQ197247 FAM197243:FAM197247 FKI197243:FKI197247 FUE197243:FUE197247 GEA197243:GEA197247 GNW197243:GNW197247 GXS197243:GXS197247 HHO197243:HHO197247 HRK197243:HRK197247 IBG197243:IBG197247 ILC197243:ILC197247 IUY197243:IUY197247 JEU197243:JEU197247 JOQ197243:JOQ197247 JYM197243:JYM197247 KII197243:KII197247 KSE197243:KSE197247 LCA197243:LCA197247 LLW197243:LLW197247 LVS197243:LVS197247 MFO197243:MFO197247 MPK197243:MPK197247 MZG197243:MZG197247 NJC197243:NJC197247 NSY197243:NSY197247 OCU197243:OCU197247 OMQ197243:OMQ197247 OWM197243:OWM197247 PGI197243:PGI197247 PQE197243:PQE197247 QAA197243:QAA197247 QJW197243:QJW197247 QTS197243:QTS197247 RDO197243:RDO197247 RNK197243:RNK197247 RXG197243:RXG197247 SHC197243:SHC197247 SQY197243:SQY197247 TAU197243:TAU197247 TKQ197243:TKQ197247 TUM197243:TUM197247 UEI197243:UEI197247 UOE197243:UOE197247 UYA197243:UYA197247 VHW197243:VHW197247 VRS197243:VRS197247 WBO197243:WBO197247 WLK197243:WLK197247 WVG197243:WVG197247 IU262779:IU262783 SQ262779:SQ262783 ACM262779:ACM262783 AMI262779:AMI262783 AWE262779:AWE262783 BGA262779:BGA262783 BPW262779:BPW262783 BZS262779:BZS262783 CJO262779:CJO262783 CTK262779:CTK262783 DDG262779:DDG262783 DNC262779:DNC262783 DWY262779:DWY262783 EGU262779:EGU262783 EQQ262779:EQQ262783 FAM262779:FAM262783 FKI262779:FKI262783 FUE262779:FUE262783 GEA262779:GEA262783 GNW262779:GNW262783 GXS262779:GXS262783 HHO262779:HHO262783 HRK262779:HRK262783 IBG262779:IBG262783 ILC262779:ILC262783 IUY262779:IUY262783 JEU262779:JEU262783 JOQ262779:JOQ262783 JYM262779:JYM262783 KII262779:KII262783 KSE262779:KSE262783 LCA262779:LCA262783 LLW262779:LLW262783 LVS262779:LVS262783 MFO262779:MFO262783 MPK262779:MPK262783 MZG262779:MZG262783 NJC262779:NJC262783 NSY262779:NSY262783 OCU262779:OCU262783 OMQ262779:OMQ262783 OWM262779:OWM262783 PGI262779:PGI262783 PQE262779:PQE262783 QAA262779:QAA262783 QJW262779:QJW262783 QTS262779:QTS262783 RDO262779:RDO262783 RNK262779:RNK262783 RXG262779:RXG262783 SHC262779:SHC262783 SQY262779:SQY262783 TAU262779:TAU262783 TKQ262779:TKQ262783 TUM262779:TUM262783 UEI262779:UEI262783 UOE262779:UOE262783 UYA262779:UYA262783 VHW262779:VHW262783 VRS262779:VRS262783 WBO262779:WBO262783 WLK262779:WLK262783 WVG262779:WVG262783 IU328315:IU328319 SQ328315:SQ328319 ACM328315:ACM328319 AMI328315:AMI328319 AWE328315:AWE328319 BGA328315:BGA328319 BPW328315:BPW328319 BZS328315:BZS328319 CJO328315:CJO328319 CTK328315:CTK328319 DDG328315:DDG328319 DNC328315:DNC328319 DWY328315:DWY328319 EGU328315:EGU328319 EQQ328315:EQQ328319 FAM328315:FAM328319 FKI328315:FKI328319 FUE328315:FUE328319 GEA328315:GEA328319 GNW328315:GNW328319 GXS328315:GXS328319 HHO328315:HHO328319 HRK328315:HRK328319 IBG328315:IBG328319 ILC328315:ILC328319 IUY328315:IUY328319 JEU328315:JEU328319 JOQ328315:JOQ328319 JYM328315:JYM328319 KII328315:KII328319 KSE328315:KSE328319 LCA328315:LCA328319 LLW328315:LLW328319 LVS328315:LVS328319 MFO328315:MFO328319 MPK328315:MPK328319 MZG328315:MZG328319 NJC328315:NJC328319 NSY328315:NSY328319 OCU328315:OCU328319 OMQ328315:OMQ328319 OWM328315:OWM328319 PGI328315:PGI328319 PQE328315:PQE328319 QAA328315:QAA328319 QJW328315:QJW328319 QTS328315:QTS328319 RDO328315:RDO328319 RNK328315:RNK328319 RXG328315:RXG328319 SHC328315:SHC328319 SQY328315:SQY328319 TAU328315:TAU328319 TKQ328315:TKQ328319 TUM328315:TUM328319 UEI328315:UEI328319 UOE328315:UOE328319 UYA328315:UYA328319 VHW328315:VHW328319 VRS328315:VRS328319 WBO328315:WBO328319 WLK328315:WLK328319 WVG328315:WVG328319 IU393851:IU393855 SQ393851:SQ393855 ACM393851:ACM393855 AMI393851:AMI393855 AWE393851:AWE393855 BGA393851:BGA393855 BPW393851:BPW393855 BZS393851:BZS393855 CJO393851:CJO393855 CTK393851:CTK393855 DDG393851:DDG393855 DNC393851:DNC393855 DWY393851:DWY393855 EGU393851:EGU393855 EQQ393851:EQQ393855 FAM393851:FAM393855 FKI393851:FKI393855 FUE393851:FUE393855 GEA393851:GEA393855 GNW393851:GNW393855 GXS393851:GXS393855 HHO393851:HHO393855 HRK393851:HRK393855 IBG393851:IBG393855 ILC393851:ILC393855 IUY393851:IUY393855 JEU393851:JEU393855 JOQ393851:JOQ393855 JYM393851:JYM393855 KII393851:KII393855 KSE393851:KSE393855 LCA393851:LCA393855 LLW393851:LLW393855 LVS393851:LVS393855 MFO393851:MFO393855 MPK393851:MPK393855 MZG393851:MZG393855 NJC393851:NJC393855 NSY393851:NSY393855 OCU393851:OCU393855 OMQ393851:OMQ393855 OWM393851:OWM393855 PGI393851:PGI393855 PQE393851:PQE393855 QAA393851:QAA393855 QJW393851:QJW393855 QTS393851:QTS393855 RDO393851:RDO393855 RNK393851:RNK393855 RXG393851:RXG393855 SHC393851:SHC393855 SQY393851:SQY393855 TAU393851:TAU393855 TKQ393851:TKQ393855 TUM393851:TUM393855 UEI393851:UEI393855 UOE393851:UOE393855 UYA393851:UYA393855 VHW393851:VHW393855 VRS393851:VRS393855 WBO393851:WBO393855 WLK393851:WLK393855 WVG393851:WVG393855 IU459387:IU459391 SQ459387:SQ459391 ACM459387:ACM459391 AMI459387:AMI459391 AWE459387:AWE459391 BGA459387:BGA459391 BPW459387:BPW459391 BZS459387:BZS459391 CJO459387:CJO459391 CTK459387:CTK459391 DDG459387:DDG459391 DNC459387:DNC459391 DWY459387:DWY459391 EGU459387:EGU459391 EQQ459387:EQQ459391 FAM459387:FAM459391 FKI459387:FKI459391 FUE459387:FUE459391 GEA459387:GEA459391 GNW459387:GNW459391 GXS459387:GXS459391 HHO459387:HHO459391 HRK459387:HRK459391 IBG459387:IBG459391 ILC459387:ILC459391 IUY459387:IUY459391 JEU459387:JEU459391 JOQ459387:JOQ459391 JYM459387:JYM459391 KII459387:KII459391 KSE459387:KSE459391 LCA459387:LCA459391 LLW459387:LLW459391 LVS459387:LVS459391 MFO459387:MFO459391 MPK459387:MPK459391 MZG459387:MZG459391 NJC459387:NJC459391 NSY459387:NSY459391 OCU459387:OCU459391 OMQ459387:OMQ459391 OWM459387:OWM459391 PGI459387:PGI459391 PQE459387:PQE459391 QAA459387:QAA459391 QJW459387:QJW459391 QTS459387:QTS459391 RDO459387:RDO459391 RNK459387:RNK459391 RXG459387:RXG459391 SHC459387:SHC459391 SQY459387:SQY459391 TAU459387:TAU459391 TKQ459387:TKQ459391 TUM459387:TUM459391 UEI459387:UEI459391 UOE459387:UOE459391 UYA459387:UYA459391 VHW459387:VHW459391 VRS459387:VRS459391 WBO459387:WBO459391 WLK459387:WLK459391 WVG459387:WVG459391 IU524923:IU524927 SQ524923:SQ524927 ACM524923:ACM524927 AMI524923:AMI524927 AWE524923:AWE524927 BGA524923:BGA524927 BPW524923:BPW524927 BZS524923:BZS524927 CJO524923:CJO524927 CTK524923:CTK524927 DDG524923:DDG524927 DNC524923:DNC524927 DWY524923:DWY524927 EGU524923:EGU524927 EQQ524923:EQQ524927 FAM524923:FAM524927 FKI524923:FKI524927 FUE524923:FUE524927 GEA524923:GEA524927 GNW524923:GNW524927 GXS524923:GXS524927 HHO524923:HHO524927 HRK524923:HRK524927 IBG524923:IBG524927 ILC524923:ILC524927 IUY524923:IUY524927 JEU524923:JEU524927 JOQ524923:JOQ524927 JYM524923:JYM524927 KII524923:KII524927 KSE524923:KSE524927 LCA524923:LCA524927 LLW524923:LLW524927 LVS524923:LVS524927 MFO524923:MFO524927 MPK524923:MPK524927 MZG524923:MZG524927 NJC524923:NJC524927 NSY524923:NSY524927 OCU524923:OCU524927 OMQ524923:OMQ524927 OWM524923:OWM524927 PGI524923:PGI524927 PQE524923:PQE524927 QAA524923:QAA524927 QJW524923:QJW524927 QTS524923:QTS524927 RDO524923:RDO524927 RNK524923:RNK524927 RXG524923:RXG524927 SHC524923:SHC524927 SQY524923:SQY524927 TAU524923:TAU524927 TKQ524923:TKQ524927 TUM524923:TUM524927 UEI524923:UEI524927 UOE524923:UOE524927 UYA524923:UYA524927 VHW524923:VHW524927 VRS524923:VRS524927 WBO524923:WBO524927 WLK524923:WLK524927 WVG524923:WVG524927 IU590459:IU590463 SQ590459:SQ590463 ACM590459:ACM590463 AMI590459:AMI590463 AWE590459:AWE590463 BGA590459:BGA590463 BPW590459:BPW590463 BZS590459:BZS590463 CJO590459:CJO590463 CTK590459:CTK590463 DDG590459:DDG590463 DNC590459:DNC590463 DWY590459:DWY590463 EGU590459:EGU590463 EQQ590459:EQQ590463 FAM590459:FAM590463 FKI590459:FKI590463 FUE590459:FUE590463 GEA590459:GEA590463 GNW590459:GNW590463 GXS590459:GXS590463 HHO590459:HHO590463 HRK590459:HRK590463 IBG590459:IBG590463 ILC590459:ILC590463 IUY590459:IUY590463 JEU590459:JEU590463 JOQ590459:JOQ590463 JYM590459:JYM590463 KII590459:KII590463 KSE590459:KSE590463 LCA590459:LCA590463 LLW590459:LLW590463 LVS590459:LVS590463 MFO590459:MFO590463 MPK590459:MPK590463 MZG590459:MZG590463 NJC590459:NJC590463 NSY590459:NSY590463 OCU590459:OCU590463 OMQ590459:OMQ590463 OWM590459:OWM590463 PGI590459:PGI590463 PQE590459:PQE590463 QAA590459:QAA590463 QJW590459:QJW590463 QTS590459:QTS590463 RDO590459:RDO590463 RNK590459:RNK590463 RXG590459:RXG590463 SHC590459:SHC590463 SQY590459:SQY590463 TAU590459:TAU590463 TKQ590459:TKQ590463 TUM590459:TUM590463 UEI590459:UEI590463 UOE590459:UOE590463 UYA590459:UYA590463 VHW590459:VHW590463 VRS590459:VRS590463 WBO590459:WBO590463 WLK590459:WLK590463 WVG590459:WVG590463 IU655995:IU655999 SQ655995:SQ655999 ACM655995:ACM655999 AMI655995:AMI655999 AWE655995:AWE655999 BGA655995:BGA655999 BPW655995:BPW655999 BZS655995:BZS655999 CJO655995:CJO655999 CTK655995:CTK655999 DDG655995:DDG655999 DNC655995:DNC655999 DWY655995:DWY655999 EGU655995:EGU655999 EQQ655995:EQQ655999 FAM655995:FAM655999 FKI655995:FKI655999 FUE655995:FUE655999 GEA655995:GEA655999 GNW655995:GNW655999 GXS655995:GXS655999 HHO655995:HHO655999 HRK655995:HRK655999 IBG655995:IBG655999 ILC655995:ILC655999 IUY655995:IUY655999 JEU655995:JEU655999 JOQ655995:JOQ655999 JYM655995:JYM655999 KII655995:KII655999 KSE655995:KSE655999 LCA655995:LCA655999 LLW655995:LLW655999 LVS655995:LVS655999 MFO655995:MFO655999 MPK655995:MPK655999 MZG655995:MZG655999 NJC655995:NJC655999 NSY655995:NSY655999 OCU655995:OCU655999 OMQ655995:OMQ655999 OWM655995:OWM655999 PGI655995:PGI655999 PQE655995:PQE655999 QAA655995:QAA655999 QJW655995:QJW655999 QTS655995:QTS655999 RDO655995:RDO655999 RNK655995:RNK655999 RXG655995:RXG655999 SHC655995:SHC655999 SQY655995:SQY655999 TAU655995:TAU655999 TKQ655995:TKQ655999 TUM655995:TUM655999 UEI655995:UEI655999 UOE655995:UOE655999 UYA655995:UYA655999 VHW655995:VHW655999 VRS655995:VRS655999 WBO655995:WBO655999 WLK655995:WLK655999 WVG655995:WVG655999 IU721531:IU721535 SQ721531:SQ721535 ACM721531:ACM721535 AMI721531:AMI721535 AWE721531:AWE721535 BGA721531:BGA721535 BPW721531:BPW721535 BZS721531:BZS721535 CJO721531:CJO721535 CTK721531:CTK721535 DDG721531:DDG721535 DNC721531:DNC721535 DWY721531:DWY721535 EGU721531:EGU721535 EQQ721531:EQQ721535 FAM721531:FAM721535 FKI721531:FKI721535 FUE721531:FUE721535 GEA721531:GEA721535 GNW721531:GNW721535 GXS721531:GXS721535 HHO721531:HHO721535 HRK721531:HRK721535 IBG721531:IBG721535 ILC721531:ILC721535 IUY721531:IUY721535 JEU721531:JEU721535 JOQ721531:JOQ721535 JYM721531:JYM721535 KII721531:KII721535 KSE721531:KSE721535 LCA721531:LCA721535 LLW721531:LLW721535 LVS721531:LVS721535 MFO721531:MFO721535 MPK721531:MPK721535 MZG721531:MZG721535 NJC721531:NJC721535 NSY721531:NSY721535 OCU721531:OCU721535 OMQ721531:OMQ721535 OWM721531:OWM721535 PGI721531:PGI721535 PQE721531:PQE721535 QAA721531:QAA721535 QJW721531:QJW721535 QTS721531:QTS721535 RDO721531:RDO721535 RNK721531:RNK721535 RXG721531:RXG721535 SHC721531:SHC721535 SQY721531:SQY721535 TAU721531:TAU721535 TKQ721531:TKQ721535 TUM721531:TUM721535 UEI721531:UEI721535 UOE721531:UOE721535 UYA721531:UYA721535 VHW721531:VHW721535 VRS721531:VRS721535 WBO721531:WBO721535 WLK721531:WLK721535 WVG721531:WVG721535 IU787067:IU787071 SQ787067:SQ787071 ACM787067:ACM787071 AMI787067:AMI787071 AWE787067:AWE787071 BGA787067:BGA787071 BPW787067:BPW787071 BZS787067:BZS787071 CJO787067:CJO787071 CTK787067:CTK787071 DDG787067:DDG787071 DNC787067:DNC787071 DWY787067:DWY787071 EGU787067:EGU787071 EQQ787067:EQQ787071 FAM787067:FAM787071 FKI787067:FKI787071 FUE787067:FUE787071 GEA787067:GEA787071 GNW787067:GNW787071 GXS787067:GXS787071 HHO787067:HHO787071 HRK787067:HRK787071 IBG787067:IBG787071 ILC787067:ILC787071 IUY787067:IUY787071 JEU787067:JEU787071 JOQ787067:JOQ787071 JYM787067:JYM787071 KII787067:KII787071 KSE787067:KSE787071 LCA787067:LCA787071 LLW787067:LLW787071 LVS787067:LVS787071 MFO787067:MFO787071 MPK787067:MPK787071 MZG787067:MZG787071 NJC787067:NJC787071 NSY787067:NSY787071 OCU787067:OCU787071 OMQ787067:OMQ787071 OWM787067:OWM787071 PGI787067:PGI787071 PQE787067:PQE787071 QAA787067:QAA787071 QJW787067:QJW787071 QTS787067:QTS787071 RDO787067:RDO787071 RNK787067:RNK787071 RXG787067:RXG787071 SHC787067:SHC787071 SQY787067:SQY787071 TAU787067:TAU787071 TKQ787067:TKQ787071 TUM787067:TUM787071 UEI787067:UEI787071 UOE787067:UOE787071 UYA787067:UYA787071 VHW787067:VHW787071 VRS787067:VRS787071 WBO787067:WBO787071 WLK787067:WLK787071 WVG787067:WVG787071 IU852603:IU852607 SQ852603:SQ852607 ACM852603:ACM852607 AMI852603:AMI852607 AWE852603:AWE852607 BGA852603:BGA852607 BPW852603:BPW852607 BZS852603:BZS852607 CJO852603:CJO852607 CTK852603:CTK852607 DDG852603:DDG852607 DNC852603:DNC852607 DWY852603:DWY852607 EGU852603:EGU852607 EQQ852603:EQQ852607 FAM852603:FAM852607 FKI852603:FKI852607 FUE852603:FUE852607 GEA852603:GEA852607 GNW852603:GNW852607 GXS852603:GXS852607 HHO852603:HHO852607 HRK852603:HRK852607 IBG852603:IBG852607 ILC852603:ILC852607 IUY852603:IUY852607 JEU852603:JEU852607 JOQ852603:JOQ852607 JYM852603:JYM852607 KII852603:KII852607 KSE852603:KSE852607 LCA852603:LCA852607 LLW852603:LLW852607 LVS852603:LVS852607 MFO852603:MFO852607 MPK852603:MPK852607 MZG852603:MZG852607 NJC852603:NJC852607 NSY852603:NSY852607 OCU852603:OCU852607 OMQ852603:OMQ852607 OWM852603:OWM852607 PGI852603:PGI852607 PQE852603:PQE852607 QAA852603:QAA852607 QJW852603:QJW852607 QTS852603:QTS852607 RDO852603:RDO852607 RNK852603:RNK852607 RXG852603:RXG852607 SHC852603:SHC852607 SQY852603:SQY852607 TAU852603:TAU852607 TKQ852603:TKQ852607 TUM852603:TUM852607 UEI852603:UEI852607 UOE852603:UOE852607 UYA852603:UYA852607 VHW852603:VHW852607 VRS852603:VRS852607 WBO852603:WBO852607 WLK852603:WLK852607 WVG852603:WVG852607 IU918139:IU918143 SQ918139:SQ918143 ACM918139:ACM918143 AMI918139:AMI918143 AWE918139:AWE918143 BGA918139:BGA918143 BPW918139:BPW918143 BZS918139:BZS918143 CJO918139:CJO918143 CTK918139:CTK918143 DDG918139:DDG918143 DNC918139:DNC918143 DWY918139:DWY918143 EGU918139:EGU918143 EQQ918139:EQQ918143 FAM918139:FAM918143 FKI918139:FKI918143 FUE918139:FUE918143 GEA918139:GEA918143 GNW918139:GNW918143 GXS918139:GXS918143 HHO918139:HHO918143 HRK918139:HRK918143 IBG918139:IBG918143 ILC918139:ILC918143 IUY918139:IUY918143 JEU918139:JEU918143 JOQ918139:JOQ918143 JYM918139:JYM918143 KII918139:KII918143 KSE918139:KSE918143 LCA918139:LCA918143 LLW918139:LLW918143 LVS918139:LVS918143 MFO918139:MFO918143 MPK918139:MPK918143 MZG918139:MZG918143 NJC918139:NJC918143 NSY918139:NSY918143 OCU918139:OCU918143 OMQ918139:OMQ918143 OWM918139:OWM918143 PGI918139:PGI918143 PQE918139:PQE918143 QAA918139:QAA918143 QJW918139:QJW918143 QTS918139:QTS918143 RDO918139:RDO918143 RNK918139:RNK918143 RXG918139:RXG918143 SHC918139:SHC918143 SQY918139:SQY918143 TAU918139:TAU918143 TKQ918139:TKQ918143 TUM918139:TUM918143 UEI918139:UEI918143 UOE918139:UOE918143 UYA918139:UYA918143 VHW918139:VHW918143 VRS918139:VRS918143 WBO918139:WBO918143 WLK918139:WLK918143 WVG918139:WVG918143 IU983675:IU983679 SQ983675:SQ983679 ACM983675:ACM983679 AMI983675:AMI983679 AWE983675:AWE983679 BGA983675:BGA983679 BPW983675:BPW983679 BZS983675:BZS983679 CJO983675:CJO983679 CTK983675:CTK983679 DDG983675:DDG983679 DNC983675:DNC983679 DWY983675:DWY983679 EGU983675:EGU983679 EQQ983675:EQQ983679 FAM983675:FAM983679 FKI983675:FKI983679 FUE983675:FUE983679 GEA983675:GEA983679 GNW983675:GNW983679 GXS983675:GXS983679 HHO983675:HHO983679 HRK983675:HRK983679 IBG983675:IBG983679 ILC983675:ILC983679 IUY983675:IUY983679 JEU983675:JEU983679 JOQ983675:JOQ983679 JYM983675:JYM983679 KII983675:KII983679 KSE983675:KSE983679 LCA983675:LCA983679 LLW983675:LLW983679 LVS983675:LVS983679 MFO983675:MFO983679 MPK983675:MPK983679 MZG983675:MZG983679 NJC983675:NJC983679 NSY983675:NSY983679 OCU983675:OCU983679 OMQ983675:OMQ983679 OWM983675:OWM983679 PGI983675:PGI983679 PQE983675:PQE983679 QAA983675:QAA983679 QJW983675:QJW983679 QTS983675:QTS983679 RDO983675:RDO983679 RNK983675:RNK983679 RXG983675:RXG983679 SHC983675:SHC983679 SQY983675:SQY983679 TAU983675:TAU983679 TKQ983675:TKQ983679 TUM983675:TUM983679 UEI983675:UEI983679 UOE983675:UOE983679 UYA983675:UYA983679 VHW983675:VHW983679 VRS983675:VRS983679 WBO983675:WBO983679 WLK983675:WLK983679 WVG983675:WVG983679 F983675:H983679 F918139:H918143 F852603:H852607 F787067:H787071 F721531:H721535 F655995:H655999 F590459:H590463 F524923:H524927 F459387:H459391 F393851:H393855 F328315:H328319 F262779:H262783 F197243:H197247 F131707:H131711 F66171:H66175"/>
    <dataValidation allowBlank="1" showErrorMessage="1" sqref="IU66170 SQ66170 ACM66170 AMI66170 AWE66170 BGA66170 BPW66170 BZS66170 CJO66170 CTK66170 DDG66170 DNC66170 DWY66170 EGU66170 EQQ66170 FAM66170 FKI66170 FUE66170 GEA66170 GNW66170 GXS66170 HHO66170 HRK66170 IBG66170 ILC66170 IUY66170 JEU66170 JOQ66170 JYM66170 KII66170 KSE66170 LCA66170 LLW66170 LVS66170 MFO66170 MPK66170 MZG66170 NJC66170 NSY66170 OCU66170 OMQ66170 OWM66170 PGI66170 PQE66170 QAA66170 QJW66170 QTS66170 RDO66170 RNK66170 RXG66170 SHC66170 SQY66170 TAU66170 TKQ66170 TUM66170 UEI66170 UOE66170 UYA66170 VHW66170 VRS66170 WBO66170 WLK66170 WVG66170 IU131706 SQ131706 ACM131706 AMI131706 AWE131706 BGA131706 BPW131706 BZS131706 CJO131706 CTK131706 DDG131706 DNC131706 DWY131706 EGU131706 EQQ131706 FAM131706 FKI131706 FUE131706 GEA131706 GNW131706 GXS131706 HHO131706 HRK131706 IBG131706 ILC131706 IUY131706 JEU131706 JOQ131706 JYM131706 KII131706 KSE131706 LCA131706 LLW131706 LVS131706 MFO131706 MPK131706 MZG131706 NJC131706 NSY131706 OCU131706 OMQ131706 OWM131706 PGI131706 PQE131706 QAA131706 QJW131706 QTS131706 RDO131706 RNK131706 RXG131706 SHC131706 SQY131706 TAU131706 TKQ131706 TUM131706 UEI131706 UOE131706 UYA131706 VHW131706 VRS131706 WBO131706 WLK131706 WVG131706 IU197242 SQ197242 ACM197242 AMI197242 AWE197242 BGA197242 BPW197242 BZS197242 CJO197242 CTK197242 DDG197242 DNC197242 DWY197242 EGU197242 EQQ197242 FAM197242 FKI197242 FUE197242 GEA197242 GNW197242 GXS197242 HHO197242 HRK197242 IBG197242 ILC197242 IUY197242 JEU197242 JOQ197242 JYM197242 KII197242 KSE197242 LCA197242 LLW197242 LVS197242 MFO197242 MPK197242 MZG197242 NJC197242 NSY197242 OCU197242 OMQ197242 OWM197242 PGI197242 PQE197242 QAA197242 QJW197242 QTS197242 RDO197242 RNK197242 RXG197242 SHC197242 SQY197242 TAU197242 TKQ197242 TUM197242 UEI197242 UOE197242 UYA197242 VHW197242 VRS197242 WBO197242 WLK197242 WVG197242 IU262778 SQ262778 ACM262778 AMI262778 AWE262778 BGA262778 BPW262778 BZS262778 CJO262778 CTK262778 DDG262778 DNC262778 DWY262778 EGU262778 EQQ262778 FAM262778 FKI262778 FUE262778 GEA262778 GNW262778 GXS262778 HHO262778 HRK262778 IBG262778 ILC262778 IUY262778 JEU262778 JOQ262778 JYM262778 KII262778 KSE262778 LCA262778 LLW262778 LVS262778 MFO262778 MPK262778 MZG262778 NJC262778 NSY262778 OCU262778 OMQ262778 OWM262778 PGI262778 PQE262778 QAA262778 QJW262778 QTS262778 RDO262778 RNK262778 RXG262778 SHC262778 SQY262778 TAU262778 TKQ262778 TUM262778 UEI262778 UOE262778 UYA262778 VHW262778 VRS262778 WBO262778 WLK262778 WVG262778 IU328314 SQ328314 ACM328314 AMI328314 AWE328314 BGA328314 BPW328314 BZS328314 CJO328314 CTK328314 DDG328314 DNC328314 DWY328314 EGU328314 EQQ328314 FAM328314 FKI328314 FUE328314 GEA328314 GNW328314 GXS328314 HHO328314 HRK328314 IBG328314 ILC328314 IUY328314 JEU328314 JOQ328314 JYM328314 KII328314 KSE328314 LCA328314 LLW328314 LVS328314 MFO328314 MPK328314 MZG328314 NJC328314 NSY328314 OCU328314 OMQ328314 OWM328314 PGI328314 PQE328314 QAA328314 QJW328314 QTS328314 RDO328314 RNK328314 RXG328314 SHC328314 SQY328314 TAU328314 TKQ328314 TUM328314 UEI328314 UOE328314 UYA328314 VHW328314 VRS328314 WBO328314 WLK328314 WVG328314 IU393850 SQ393850 ACM393850 AMI393850 AWE393850 BGA393850 BPW393850 BZS393850 CJO393850 CTK393850 DDG393850 DNC393850 DWY393850 EGU393850 EQQ393850 FAM393850 FKI393850 FUE393850 GEA393850 GNW393850 GXS393850 HHO393850 HRK393850 IBG393850 ILC393850 IUY393850 JEU393850 JOQ393850 JYM393850 KII393850 KSE393850 LCA393850 LLW393850 LVS393850 MFO393850 MPK393850 MZG393850 NJC393850 NSY393850 OCU393850 OMQ393850 OWM393850 PGI393850 PQE393850 QAA393850 QJW393850 QTS393850 RDO393850 RNK393850 RXG393850 SHC393850 SQY393850 TAU393850 TKQ393850 TUM393850 UEI393850 UOE393850 UYA393850 VHW393850 VRS393850 WBO393850 WLK393850 WVG393850 IU459386 SQ459386 ACM459386 AMI459386 AWE459386 BGA459386 BPW459386 BZS459386 CJO459386 CTK459386 DDG459386 DNC459386 DWY459386 EGU459386 EQQ459386 FAM459386 FKI459386 FUE459386 GEA459386 GNW459386 GXS459386 HHO459386 HRK459386 IBG459386 ILC459386 IUY459386 JEU459386 JOQ459386 JYM459386 KII459386 KSE459386 LCA459386 LLW459386 LVS459386 MFO459386 MPK459386 MZG459386 NJC459386 NSY459386 OCU459386 OMQ459386 OWM459386 PGI459386 PQE459386 QAA459386 QJW459386 QTS459386 RDO459386 RNK459386 RXG459386 SHC459386 SQY459386 TAU459386 TKQ459386 TUM459386 UEI459386 UOE459386 UYA459386 VHW459386 VRS459386 WBO459386 WLK459386 WVG459386 IU524922 SQ524922 ACM524922 AMI524922 AWE524922 BGA524922 BPW524922 BZS524922 CJO524922 CTK524922 DDG524922 DNC524922 DWY524922 EGU524922 EQQ524922 FAM524922 FKI524922 FUE524922 GEA524922 GNW524922 GXS524922 HHO524922 HRK524922 IBG524922 ILC524922 IUY524922 JEU524922 JOQ524922 JYM524922 KII524922 KSE524922 LCA524922 LLW524922 LVS524922 MFO524922 MPK524922 MZG524922 NJC524922 NSY524922 OCU524922 OMQ524922 OWM524922 PGI524922 PQE524922 QAA524922 QJW524922 QTS524922 RDO524922 RNK524922 RXG524922 SHC524922 SQY524922 TAU524922 TKQ524922 TUM524922 UEI524922 UOE524922 UYA524922 VHW524922 VRS524922 WBO524922 WLK524922 WVG524922 IU590458 SQ590458 ACM590458 AMI590458 AWE590458 BGA590458 BPW590458 BZS590458 CJO590458 CTK590458 DDG590458 DNC590458 DWY590458 EGU590458 EQQ590458 FAM590458 FKI590458 FUE590458 GEA590458 GNW590458 GXS590458 HHO590458 HRK590458 IBG590458 ILC590458 IUY590458 JEU590458 JOQ590458 JYM590458 KII590458 KSE590458 LCA590458 LLW590458 LVS590458 MFO590458 MPK590458 MZG590458 NJC590458 NSY590458 OCU590458 OMQ590458 OWM590458 PGI590458 PQE590458 QAA590458 QJW590458 QTS590458 RDO590458 RNK590458 RXG590458 SHC590458 SQY590458 TAU590458 TKQ590458 TUM590458 UEI590458 UOE590458 UYA590458 VHW590458 VRS590458 WBO590458 WLK590458 WVG590458 IU655994 SQ655994 ACM655994 AMI655994 AWE655994 BGA655994 BPW655994 BZS655994 CJO655994 CTK655994 DDG655994 DNC655994 DWY655994 EGU655994 EQQ655994 FAM655994 FKI655994 FUE655994 GEA655994 GNW655994 GXS655994 HHO655994 HRK655994 IBG655994 ILC655994 IUY655994 JEU655994 JOQ655994 JYM655994 KII655994 KSE655994 LCA655994 LLW655994 LVS655994 MFO655994 MPK655994 MZG655994 NJC655994 NSY655994 OCU655994 OMQ655994 OWM655994 PGI655994 PQE655994 QAA655994 QJW655994 QTS655994 RDO655994 RNK655994 RXG655994 SHC655994 SQY655994 TAU655994 TKQ655994 TUM655994 UEI655994 UOE655994 UYA655994 VHW655994 VRS655994 WBO655994 WLK655994 WVG655994 IU721530 SQ721530 ACM721530 AMI721530 AWE721530 BGA721530 BPW721530 BZS721530 CJO721530 CTK721530 DDG721530 DNC721530 DWY721530 EGU721530 EQQ721530 FAM721530 FKI721530 FUE721530 GEA721530 GNW721530 GXS721530 HHO721530 HRK721530 IBG721530 ILC721530 IUY721530 JEU721530 JOQ721530 JYM721530 KII721530 KSE721530 LCA721530 LLW721530 LVS721530 MFO721530 MPK721530 MZG721530 NJC721530 NSY721530 OCU721530 OMQ721530 OWM721530 PGI721530 PQE721530 QAA721530 QJW721530 QTS721530 RDO721530 RNK721530 RXG721530 SHC721530 SQY721530 TAU721530 TKQ721530 TUM721530 UEI721530 UOE721530 UYA721530 VHW721530 VRS721530 WBO721530 WLK721530 WVG721530 IU787066 SQ787066 ACM787066 AMI787066 AWE787066 BGA787066 BPW787066 BZS787066 CJO787066 CTK787066 DDG787066 DNC787066 DWY787066 EGU787066 EQQ787066 FAM787066 FKI787066 FUE787066 GEA787066 GNW787066 GXS787066 HHO787066 HRK787066 IBG787066 ILC787066 IUY787066 JEU787066 JOQ787066 JYM787066 KII787066 KSE787066 LCA787066 LLW787066 LVS787066 MFO787066 MPK787066 MZG787066 NJC787066 NSY787066 OCU787066 OMQ787066 OWM787066 PGI787066 PQE787066 QAA787066 QJW787066 QTS787066 RDO787066 RNK787066 RXG787066 SHC787066 SQY787066 TAU787066 TKQ787066 TUM787066 UEI787066 UOE787066 UYA787066 VHW787066 VRS787066 WBO787066 WLK787066 WVG787066 IU852602 SQ852602 ACM852602 AMI852602 AWE852602 BGA852602 BPW852602 BZS852602 CJO852602 CTK852602 DDG852602 DNC852602 DWY852602 EGU852602 EQQ852602 FAM852602 FKI852602 FUE852602 GEA852602 GNW852602 GXS852602 HHO852602 HRK852602 IBG852602 ILC852602 IUY852602 JEU852602 JOQ852602 JYM852602 KII852602 KSE852602 LCA852602 LLW852602 LVS852602 MFO852602 MPK852602 MZG852602 NJC852602 NSY852602 OCU852602 OMQ852602 OWM852602 PGI852602 PQE852602 QAA852602 QJW852602 QTS852602 RDO852602 RNK852602 RXG852602 SHC852602 SQY852602 TAU852602 TKQ852602 TUM852602 UEI852602 UOE852602 UYA852602 VHW852602 VRS852602 WBO852602 WLK852602 WVG852602 IU918138 SQ918138 ACM918138 AMI918138 AWE918138 BGA918138 BPW918138 BZS918138 CJO918138 CTK918138 DDG918138 DNC918138 DWY918138 EGU918138 EQQ918138 FAM918138 FKI918138 FUE918138 GEA918138 GNW918138 GXS918138 HHO918138 HRK918138 IBG918138 ILC918138 IUY918138 JEU918138 JOQ918138 JYM918138 KII918138 KSE918138 LCA918138 LLW918138 LVS918138 MFO918138 MPK918138 MZG918138 NJC918138 NSY918138 OCU918138 OMQ918138 OWM918138 PGI918138 PQE918138 QAA918138 QJW918138 QTS918138 RDO918138 RNK918138 RXG918138 SHC918138 SQY918138 TAU918138 TKQ918138 TUM918138 UEI918138 UOE918138 UYA918138 VHW918138 VRS918138 WBO918138 WLK918138 WVG918138 IU983674 SQ983674 ACM983674 AMI983674 AWE983674 BGA983674 BPW983674 BZS983674 CJO983674 CTK983674 DDG983674 DNC983674 DWY983674 EGU983674 EQQ983674 FAM983674 FKI983674 FUE983674 GEA983674 GNW983674 GXS983674 HHO983674 HRK983674 IBG983674 ILC983674 IUY983674 JEU983674 JOQ983674 JYM983674 KII983674 KSE983674 LCA983674 LLW983674 LVS983674 MFO983674 MPK983674 MZG983674 NJC983674 NSY983674 OCU983674 OMQ983674 OWM983674 PGI983674 PQE983674 QAA983674 QJW983674 QTS983674 RDO983674 RNK983674 RXG983674 SHC983674 SQY983674 TAU983674 TKQ983674 TUM983674 UEI983674 UOE983674 UYA983674 VHW983674 VRS983674 WBO983674 WLK983674 WVG983674 F983674:H983674 F918138:H918138 F852602:H852602 F787066:H787066 F721530:H721530 F655994:H655994 F590458:H590458 F524922:H524922 F459386:H459386 F393850:H393850 F328314:H328314 F262778:H262778 F197242:H197242 F131706:H131706 F66170:H66170"/>
  </dataValidations>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Q204"/>
  <sheetViews>
    <sheetView zoomScale="80" zoomScaleNormal="80" workbookViewId="0">
      <pane xSplit="3" ySplit="6" topLeftCell="H7" activePane="bottomRight" state="frozen"/>
      <selection pane="topRight" activeCell="D1" sqref="D1"/>
      <selection pane="bottomLeft" activeCell="A7" sqref="A7"/>
      <selection pane="bottomRight" activeCell="P11" sqref="P11"/>
    </sheetView>
  </sheetViews>
  <sheetFormatPr baseColWidth="10" defaultColWidth="11.5703125" defaultRowHeight="15"/>
  <cols>
    <col min="1" max="1" width="1.7109375" style="44" customWidth="1"/>
    <col min="2" max="2" width="28.7109375" style="44" customWidth="1"/>
    <col min="3" max="3" width="22.85546875" style="44" bestFit="1" customWidth="1"/>
    <col min="4" max="4" width="40.140625" style="44" customWidth="1"/>
    <col min="5" max="5" width="27.28515625" style="44" customWidth="1"/>
    <col min="6" max="6" width="29.7109375" style="44" customWidth="1"/>
    <col min="7" max="7" width="16.140625" style="44" customWidth="1"/>
    <col min="8" max="8" width="20.7109375" style="44" customWidth="1"/>
    <col min="9" max="9" width="19.140625" style="44" customWidth="1"/>
    <col min="10" max="10" width="15.85546875" style="44" customWidth="1"/>
    <col min="11" max="11" width="13.7109375" style="44" customWidth="1"/>
    <col min="12" max="12" width="15.140625" style="44" customWidth="1"/>
    <col min="13" max="13" width="14.5703125" style="44" customWidth="1"/>
    <col min="14" max="14" width="31" style="66" hidden="1" customWidth="1"/>
    <col min="15" max="15" width="45.7109375" style="138" hidden="1" customWidth="1"/>
    <col min="16" max="16" width="31" style="66" customWidth="1"/>
    <col min="17" max="17" width="45.7109375" style="138" customWidth="1"/>
    <col min="18" max="16384" width="11.5703125" style="44"/>
  </cols>
  <sheetData>
    <row r="1" spans="2:17" ht="6.6" customHeight="1" thickBot="1"/>
    <row r="2" spans="2:17" s="60" customFormat="1" ht="74.45" customHeight="1" thickBot="1">
      <c r="B2" s="1528"/>
      <c r="C2" s="1529"/>
      <c r="D2" s="1545" t="s">
        <v>383</v>
      </c>
      <c r="E2" s="1546"/>
      <c r="F2" s="1546"/>
      <c r="G2" s="1546"/>
      <c r="H2" s="1546"/>
      <c r="I2" s="1546"/>
      <c r="J2" s="1546"/>
      <c r="K2" s="1546"/>
      <c r="L2" s="1546"/>
      <c r="M2" s="1546"/>
      <c r="N2" s="1546"/>
      <c r="O2" s="1546"/>
      <c r="P2" s="1546"/>
      <c r="Q2" s="1546"/>
    </row>
    <row r="3" spans="2:17" s="48" customFormat="1" ht="20.45" customHeight="1" thickBot="1">
      <c r="J3" s="1645" t="s">
        <v>228</v>
      </c>
      <c r="K3" s="1645"/>
      <c r="L3" s="1645"/>
      <c r="M3" s="1645"/>
      <c r="N3" s="1645"/>
      <c r="O3" s="1645"/>
      <c r="P3" s="1645"/>
      <c r="Q3" s="1645"/>
    </row>
    <row r="4" spans="2:17" s="48" customFormat="1" ht="21.6" customHeight="1" thickBot="1">
      <c r="B4" s="1530" t="s">
        <v>48</v>
      </c>
      <c r="C4" s="1530" t="s">
        <v>49</v>
      </c>
      <c r="D4" s="1530" t="s">
        <v>229</v>
      </c>
      <c r="E4" s="1530" t="s">
        <v>230</v>
      </c>
      <c r="F4" s="1530" t="s">
        <v>131</v>
      </c>
      <c r="G4" s="1530" t="s">
        <v>231</v>
      </c>
      <c r="H4" s="1530" t="s">
        <v>232</v>
      </c>
      <c r="I4" s="1530" t="s">
        <v>233</v>
      </c>
      <c r="J4" s="1530" t="s">
        <v>234</v>
      </c>
      <c r="K4" s="1530"/>
      <c r="L4" s="1530"/>
      <c r="M4" s="1530"/>
      <c r="N4" s="1548" t="s">
        <v>384</v>
      </c>
      <c r="O4" s="1644"/>
      <c r="P4" s="1530" t="s">
        <v>1311</v>
      </c>
      <c r="Q4" s="1530"/>
    </row>
    <row r="5" spans="2:17" s="48" customFormat="1" ht="47.25" customHeight="1" thickBot="1">
      <c r="B5" s="1530"/>
      <c r="C5" s="1530"/>
      <c r="D5" s="1530"/>
      <c r="E5" s="1530"/>
      <c r="F5" s="1530"/>
      <c r="G5" s="1530"/>
      <c r="H5" s="1530"/>
      <c r="I5" s="1530"/>
      <c r="J5" s="1522" t="s">
        <v>236</v>
      </c>
      <c r="K5" s="1522"/>
      <c r="L5" s="1523" t="s">
        <v>237</v>
      </c>
      <c r="M5" s="1523"/>
      <c r="N5" s="103" t="s">
        <v>18</v>
      </c>
      <c r="O5" s="649" t="s">
        <v>71</v>
      </c>
      <c r="P5" s="638" t="s">
        <v>18</v>
      </c>
      <c r="Q5" s="650" t="s">
        <v>71</v>
      </c>
    </row>
    <row r="6" spans="2:17" s="48" customFormat="1" ht="33" customHeight="1" thickBot="1">
      <c r="B6" s="1530"/>
      <c r="C6" s="1530"/>
      <c r="D6" s="1530"/>
      <c r="E6" s="61" t="s">
        <v>238</v>
      </c>
      <c r="F6" s="1530"/>
      <c r="G6" s="1530"/>
      <c r="H6" s="1530"/>
      <c r="I6" s="1530"/>
      <c r="J6" s="62" t="s">
        <v>239</v>
      </c>
      <c r="K6" s="62" t="s">
        <v>240</v>
      </c>
      <c r="L6" s="62" t="s">
        <v>239</v>
      </c>
      <c r="M6" s="62" t="s">
        <v>240</v>
      </c>
      <c r="N6" s="49"/>
      <c r="O6" s="651"/>
      <c r="P6" s="658"/>
      <c r="Q6" s="659"/>
    </row>
    <row r="7" spans="2:17" s="48" customFormat="1" ht="127.5">
      <c r="B7" s="140" t="s">
        <v>385</v>
      </c>
      <c r="C7" s="141">
        <f>SUM(C8:C26)</f>
        <v>4600000000</v>
      </c>
      <c r="D7" s="141" t="s">
        <v>386</v>
      </c>
      <c r="E7" s="141" t="s">
        <v>14</v>
      </c>
      <c r="F7" s="142"/>
      <c r="G7" s="141">
        <v>4600</v>
      </c>
      <c r="H7" s="143" t="s">
        <v>4</v>
      </c>
      <c r="I7" s="144"/>
      <c r="J7" s="144"/>
      <c r="K7" s="144"/>
      <c r="L7" s="144"/>
      <c r="M7" s="144"/>
      <c r="N7" s="49"/>
      <c r="O7" s="651"/>
      <c r="P7" s="660"/>
      <c r="Q7" s="661"/>
    </row>
    <row r="8" spans="2:17" s="48" customFormat="1" ht="21" customHeight="1">
      <c r="B8" s="1617" t="s">
        <v>387</v>
      </c>
      <c r="C8" s="145">
        <v>100000000</v>
      </c>
      <c r="D8" s="146" t="s">
        <v>75</v>
      </c>
      <c r="E8" s="145"/>
      <c r="F8" s="1629"/>
      <c r="G8" s="145"/>
      <c r="H8" s="147"/>
      <c r="I8" s="148"/>
      <c r="J8" s="149"/>
      <c r="K8" s="149"/>
      <c r="L8" s="149"/>
      <c r="M8" s="149"/>
      <c r="N8" s="1507" t="s">
        <v>37</v>
      </c>
      <c r="O8" s="652"/>
      <c r="P8" s="662"/>
      <c r="Q8" s="662"/>
    </row>
    <row r="9" spans="2:17" s="48" customFormat="1" ht="29.25" customHeight="1">
      <c r="B9" s="1618"/>
      <c r="C9" s="145">
        <v>120000000</v>
      </c>
      <c r="D9" s="146" t="s">
        <v>33</v>
      </c>
      <c r="E9" s="145"/>
      <c r="F9" s="1629"/>
      <c r="G9" s="145"/>
      <c r="H9" s="147"/>
      <c r="I9" s="148"/>
      <c r="J9" s="149"/>
      <c r="K9" s="149"/>
      <c r="L9" s="149"/>
      <c r="M9" s="149"/>
      <c r="N9" s="1508"/>
      <c r="O9" s="651"/>
      <c r="P9" s="661"/>
      <c r="Q9" s="661"/>
    </row>
    <row r="10" spans="2:17" s="48" customFormat="1" ht="26.25" customHeight="1">
      <c r="B10" s="1618"/>
      <c r="C10" s="145">
        <v>50000000</v>
      </c>
      <c r="D10" s="146" t="s">
        <v>2</v>
      </c>
      <c r="E10" s="145"/>
      <c r="F10" s="1629"/>
      <c r="G10" s="145"/>
      <c r="H10" s="147"/>
      <c r="I10" s="148"/>
      <c r="J10" s="149"/>
      <c r="K10" s="149"/>
      <c r="L10" s="149"/>
      <c r="M10" s="149"/>
      <c r="N10" s="1508"/>
      <c r="O10" s="651"/>
      <c r="P10" s="661"/>
      <c r="Q10" s="661"/>
    </row>
    <row r="11" spans="2:17" s="48" customFormat="1" ht="38.25" customHeight="1">
      <c r="B11" s="1619"/>
      <c r="C11" s="145">
        <v>60000000</v>
      </c>
      <c r="D11" s="146" t="s">
        <v>1</v>
      </c>
      <c r="E11" s="145"/>
      <c r="F11" s="1629"/>
      <c r="G11" s="145"/>
      <c r="H11" s="147"/>
      <c r="I11" s="148"/>
      <c r="J11" s="149"/>
      <c r="K11" s="149"/>
      <c r="L11" s="149"/>
      <c r="M11" s="149"/>
      <c r="N11" s="1509"/>
      <c r="O11" s="651"/>
      <c r="P11" s="661"/>
      <c r="Q11" s="661"/>
    </row>
    <row r="12" spans="2:17" s="48" customFormat="1" ht="22.5" customHeight="1">
      <c r="B12" s="1618" t="s">
        <v>388</v>
      </c>
      <c r="C12" s="145">
        <v>105000000</v>
      </c>
      <c r="D12" s="150" t="s">
        <v>389</v>
      </c>
      <c r="E12" s="145" t="s">
        <v>14</v>
      </c>
      <c r="F12" s="1635" t="s">
        <v>390</v>
      </c>
      <c r="G12" s="145"/>
      <c r="H12" s="147"/>
      <c r="I12" s="148"/>
      <c r="J12" s="149"/>
      <c r="K12" s="149"/>
      <c r="L12" s="149"/>
      <c r="M12" s="149"/>
      <c r="N12" s="1507" t="s">
        <v>14</v>
      </c>
      <c r="O12" s="1620" t="s">
        <v>391</v>
      </c>
      <c r="P12" s="1615"/>
      <c r="Q12" s="1616"/>
    </row>
    <row r="13" spans="2:17" s="48" customFormat="1">
      <c r="B13" s="1618"/>
      <c r="C13" s="145">
        <v>65000000</v>
      </c>
      <c r="D13" s="150" t="s">
        <v>392</v>
      </c>
      <c r="E13" s="145" t="s">
        <v>14</v>
      </c>
      <c r="F13" s="1635"/>
      <c r="G13" s="145"/>
      <c r="H13" s="147"/>
      <c r="I13" s="148"/>
      <c r="J13" s="149"/>
      <c r="K13" s="149"/>
      <c r="L13" s="149"/>
      <c r="M13" s="149"/>
      <c r="N13" s="1508"/>
      <c r="O13" s="1622"/>
      <c r="P13" s="1615"/>
      <c r="Q13" s="1616"/>
    </row>
    <row r="14" spans="2:17" s="48" customFormat="1">
      <c r="B14" s="1618"/>
      <c r="C14" s="145">
        <v>85000000</v>
      </c>
      <c r="D14" s="150" t="s">
        <v>393</v>
      </c>
      <c r="E14" s="145" t="s">
        <v>14</v>
      </c>
      <c r="F14" s="1635"/>
      <c r="G14" s="145"/>
      <c r="H14" s="147"/>
      <c r="I14" s="148"/>
      <c r="J14" s="149"/>
      <c r="K14" s="149"/>
      <c r="L14" s="149"/>
      <c r="M14" s="149"/>
      <c r="N14" s="1508"/>
      <c r="O14" s="1622"/>
      <c r="P14" s="1615"/>
      <c r="Q14" s="1616"/>
    </row>
    <row r="15" spans="2:17" s="48" customFormat="1">
      <c r="B15" s="1618"/>
      <c r="C15" s="145">
        <v>150000000</v>
      </c>
      <c r="D15" s="150" t="s">
        <v>163</v>
      </c>
      <c r="E15" s="145" t="s">
        <v>14</v>
      </c>
      <c r="F15" s="1635"/>
      <c r="G15" s="145"/>
      <c r="H15" s="147"/>
      <c r="I15" s="148"/>
      <c r="J15" s="149"/>
      <c r="K15" s="149"/>
      <c r="L15" s="149"/>
      <c r="M15" s="149"/>
      <c r="N15" s="1508"/>
      <c r="O15" s="1622"/>
      <c r="P15" s="1615"/>
      <c r="Q15" s="1616"/>
    </row>
    <row r="16" spans="2:17" s="48" customFormat="1">
      <c r="B16" s="1618"/>
      <c r="C16" s="145">
        <v>200000000</v>
      </c>
      <c r="D16" s="150" t="s">
        <v>394</v>
      </c>
      <c r="E16" s="145" t="s">
        <v>14</v>
      </c>
      <c r="F16" s="1635"/>
      <c r="G16" s="145"/>
      <c r="H16" s="147"/>
      <c r="I16" s="148"/>
      <c r="J16" s="149"/>
      <c r="K16" s="149"/>
      <c r="L16" s="149"/>
      <c r="M16" s="149"/>
      <c r="N16" s="1508"/>
      <c r="O16" s="1622"/>
      <c r="P16" s="1615"/>
      <c r="Q16" s="1616"/>
    </row>
    <row r="17" spans="2:17" s="48" customFormat="1">
      <c r="B17" s="1618"/>
      <c r="C17" s="145">
        <v>64000000</v>
      </c>
      <c r="D17" s="150" t="s">
        <v>395</v>
      </c>
      <c r="E17" s="145" t="s">
        <v>14</v>
      </c>
      <c r="F17" s="1635"/>
      <c r="G17" s="145"/>
      <c r="H17" s="147"/>
      <c r="I17" s="148"/>
      <c r="J17" s="149"/>
      <c r="K17" s="149"/>
      <c r="L17" s="149"/>
      <c r="M17" s="149"/>
      <c r="N17" s="1508"/>
      <c r="O17" s="1622"/>
      <c r="P17" s="1615"/>
      <c r="Q17" s="1616"/>
    </row>
    <row r="18" spans="2:17" s="48" customFormat="1">
      <c r="B18" s="1618"/>
      <c r="C18" s="145">
        <v>64000000</v>
      </c>
      <c r="D18" s="150" t="s">
        <v>396</v>
      </c>
      <c r="E18" s="145" t="s">
        <v>14</v>
      </c>
      <c r="F18" s="1635"/>
      <c r="G18" s="145"/>
      <c r="H18" s="147"/>
      <c r="I18" s="148"/>
      <c r="J18" s="149"/>
      <c r="K18" s="149"/>
      <c r="L18" s="149"/>
      <c r="M18" s="149"/>
      <c r="N18" s="1508"/>
      <c r="O18" s="1622"/>
      <c r="P18" s="1615"/>
      <c r="Q18" s="1616"/>
    </row>
    <row r="19" spans="2:17" s="48" customFormat="1">
      <c r="B19" s="1618"/>
      <c r="C19" s="145">
        <v>64000000</v>
      </c>
      <c r="D19" s="150" t="s">
        <v>397</v>
      </c>
      <c r="E19" s="145" t="s">
        <v>14</v>
      </c>
      <c r="F19" s="1635"/>
      <c r="G19" s="145"/>
      <c r="H19" s="147"/>
      <c r="I19" s="148"/>
      <c r="J19" s="149"/>
      <c r="K19" s="149"/>
      <c r="L19" s="149"/>
      <c r="M19" s="149"/>
      <c r="N19" s="1508"/>
      <c r="O19" s="1622"/>
      <c r="P19" s="1615"/>
      <c r="Q19" s="1616"/>
    </row>
    <row r="20" spans="2:17" s="48" customFormat="1">
      <c r="B20" s="1618"/>
      <c r="C20" s="145">
        <v>64000000</v>
      </c>
      <c r="D20" s="150" t="s">
        <v>398</v>
      </c>
      <c r="E20" s="145" t="s">
        <v>14</v>
      </c>
      <c r="F20" s="1635"/>
      <c r="G20" s="145"/>
      <c r="H20" s="147"/>
      <c r="I20" s="148"/>
      <c r="J20" s="149"/>
      <c r="K20" s="149"/>
      <c r="L20" s="149"/>
      <c r="M20" s="149"/>
      <c r="N20" s="1508"/>
      <c r="O20" s="1622"/>
      <c r="P20" s="1615"/>
      <c r="Q20" s="1616"/>
    </row>
    <row r="21" spans="2:17" s="48" customFormat="1">
      <c r="B21" s="1618"/>
      <c r="C21" s="145">
        <v>64000000</v>
      </c>
      <c r="D21" s="150" t="s">
        <v>399</v>
      </c>
      <c r="E21" s="145" t="s">
        <v>14</v>
      </c>
      <c r="F21" s="1635"/>
      <c r="G21" s="145"/>
      <c r="H21" s="147"/>
      <c r="I21" s="148"/>
      <c r="J21" s="149"/>
      <c r="K21" s="149"/>
      <c r="L21" s="149"/>
      <c r="M21" s="149"/>
      <c r="N21" s="1508"/>
      <c r="O21" s="1622"/>
      <c r="P21" s="1615"/>
      <c r="Q21" s="1616"/>
    </row>
    <row r="22" spans="2:17" s="48" customFormat="1" ht="32.25" customHeight="1">
      <c r="B22" s="1619"/>
      <c r="C22" s="145">
        <v>75000000</v>
      </c>
      <c r="D22" s="150" t="s">
        <v>400</v>
      </c>
      <c r="E22" s="145" t="s">
        <v>14</v>
      </c>
      <c r="F22" s="1635"/>
      <c r="G22" s="145"/>
      <c r="H22" s="147"/>
      <c r="I22" s="148"/>
      <c r="J22" s="149"/>
      <c r="K22" s="149"/>
      <c r="L22" s="149"/>
      <c r="M22" s="149"/>
      <c r="N22" s="1509"/>
      <c r="O22" s="1621"/>
      <c r="P22" s="1615"/>
      <c r="Q22" s="1616"/>
    </row>
    <row r="23" spans="2:17" s="48" customFormat="1" ht="75" customHeight="1">
      <c r="B23" s="1617" t="s">
        <v>401</v>
      </c>
      <c r="C23" s="145">
        <v>1800000000</v>
      </c>
      <c r="D23" s="150" t="s">
        <v>0</v>
      </c>
      <c r="E23" s="145" t="s">
        <v>14</v>
      </c>
      <c r="F23" s="151"/>
      <c r="G23" s="145"/>
      <c r="H23" s="147"/>
      <c r="I23" s="148"/>
      <c r="J23" s="149"/>
      <c r="K23" s="149"/>
      <c r="L23" s="149"/>
      <c r="M23" s="149"/>
      <c r="N23" s="49" t="s">
        <v>37</v>
      </c>
      <c r="O23" s="1641" t="s">
        <v>402</v>
      </c>
      <c r="P23" s="1614"/>
      <c r="Q23" s="1614"/>
    </row>
    <row r="24" spans="2:17" s="48" customFormat="1">
      <c r="B24" s="1619"/>
      <c r="C24" s="145">
        <f>400000000+70000000</f>
        <v>470000000</v>
      </c>
      <c r="D24" s="150" t="s">
        <v>403</v>
      </c>
      <c r="E24" s="145" t="s">
        <v>14</v>
      </c>
      <c r="F24" s="152" t="s">
        <v>404</v>
      </c>
      <c r="G24" s="145"/>
      <c r="H24" s="147"/>
      <c r="I24" s="148"/>
      <c r="J24" s="149"/>
      <c r="K24" s="149"/>
      <c r="L24" s="149"/>
      <c r="M24" s="149"/>
      <c r="N24" s="49" t="s">
        <v>37</v>
      </c>
      <c r="O24" s="1642"/>
      <c r="P24" s="1614"/>
      <c r="Q24" s="1614"/>
    </row>
    <row r="25" spans="2:17" s="48" customFormat="1" ht="105">
      <c r="B25" s="146" t="s">
        <v>405</v>
      </c>
      <c r="C25" s="145">
        <v>1000000000</v>
      </c>
      <c r="D25" s="150" t="s">
        <v>0</v>
      </c>
      <c r="E25" s="145" t="s">
        <v>14</v>
      </c>
      <c r="F25" s="151"/>
      <c r="G25" s="145"/>
      <c r="H25" s="153">
        <f>C28-4219314330</f>
        <v>869925670</v>
      </c>
      <c r="I25" s="148"/>
      <c r="J25" s="149"/>
      <c r="K25" s="149"/>
      <c r="L25" s="149"/>
      <c r="M25" s="149"/>
      <c r="N25" s="49" t="s">
        <v>37</v>
      </c>
      <c r="O25" s="1643"/>
      <c r="P25" s="1614"/>
      <c r="Q25" s="1614"/>
    </row>
    <row r="26" spans="2:17" s="48" customFormat="1">
      <c r="B26" s="154" t="s">
        <v>406</v>
      </c>
      <c r="C26" s="145"/>
      <c r="D26" s="146" t="s">
        <v>0</v>
      </c>
      <c r="E26" s="145"/>
      <c r="F26" s="151"/>
      <c r="G26" s="145"/>
      <c r="H26" s="147"/>
      <c r="I26" s="148"/>
      <c r="J26" s="149"/>
      <c r="K26" s="149"/>
      <c r="L26" s="149"/>
      <c r="M26" s="149"/>
      <c r="N26" s="49"/>
      <c r="O26" s="651"/>
      <c r="P26" s="660"/>
      <c r="Q26" s="661"/>
    </row>
    <row r="27" spans="2:17" s="48" customFormat="1" ht="92.25">
      <c r="B27" s="140" t="s">
        <v>407</v>
      </c>
      <c r="C27" s="141">
        <f>SUM(C28:C31)</f>
        <v>5739240000</v>
      </c>
      <c r="D27" s="1623" t="s">
        <v>408</v>
      </c>
      <c r="E27" s="141" t="s">
        <v>14</v>
      </c>
      <c r="F27" s="142"/>
      <c r="G27" s="141">
        <v>5739</v>
      </c>
      <c r="H27" s="1637" t="s">
        <v>409</v>
      </c>
      <c r="I27" s="1637"/>
      <c r="J27" s="1637"/>
      <c r="K27" s="1637"/>
      <c r="L27" s="1637"/>
      <c r="M27" s="1637"/>
      <c r="N27" s="49"/>
      <c r="O27" s="651"/>
      <c r="P27" s="660"/>
      <c r="Q27" s="661"/>
    </row>
    <row r="28" spans="2:17" s="48" customFormat="1" ht="150" customHeight="1">
      <c r="B28" s="146" t="s">
        <v>410</v>
      </c>
      <c r="C28" s="145">
        <f>5089000000+240000</f>
        <v>5089240000</v>
      </c>
      <c r="D28" s="1624"/>
      <c r="E28" s="145" t="s">
        <v>14</v>
      </c>
      <c r="F28" s="151" t="e">
        <f>C28-#REF!</f>
        <v>#REF!</v>
      </c>
      <c r="G28" s="145"/>
      <c r="H28" s="147"/>
      <c r="I28" s="147"/>
      <c r="J28" s="147"/>
      <c r="K28" s="147"/>
      <c r="L28" s="147"/>
      <c r="M28" s="147"/>
      <c r="N28" s="49" t="s">
        <v>14</v>
      </c>
      <c r="O28" s="651" t="s">
        <v>411</v>
      </c>
      <c r="P28" s="660"/>
      <c r="Q28" s="661"/>
    </row>
    <row r="29" spans="2:17" s="48" customFormat="1" ht="75">
      <c r="B29" s="146" t="s">
        <v>412</v>
      </c>
      <c r="C29" s="145">
        <v>500000000</v>
      </c>
      <c r="D29" s="1624"/>
      <c r="E29" s="145" t="s">
        <v>14</v>
      </c>
      <c r="F29" s="151" t="e">
        <f>F28-C29</f>
        <v>#REF!</v>
      </c>
      <c r="G29" s="145"/>
      <c r="H29" s="147"/>
      <c r="I29" s="147"/>
      <c r="J29" s="147"/>
      <c r="K29" s="147"/>
      <c r="L29" s="147"/>
      <c r="M29" s="147"/>
      <c r="N29" s="49"/>
      <c r="O29" s="651"/>
      <c r="P29" s="660"/>
      <c r="Q29" s="661"/>
    </row>
    <row r="30" spans="2:17" s="48" customFormat="1" ht="105">
      <c r="B30" s="146" t="s">
        <v>413</v>
      </c>
      <c r="C30" s="145">
        <v>80000000</v>
      </c>
      <c r="D30" s="1624"/>
      <c r="E30" s="145" t="s">
        <v>14</v>
      </c>
      <c r="F30" s="151"/>
      <c r="G30" s="145"/>
      <c r="H30" s="147"/>
      <c r="I30" s="147"/>
      <c r="J30" s="147"/>
      <c r="K30" s="147"/>
      <c r="L30" s="147"/>
      <c r="M30" s="147"/>
      <c r="N30" s="49"/>
      <c r="O30" s="651"/>
      <c r="P30" s="660"/>
      <c r="Q30" s="661"/>
    </row>
    <row r="31" spans="2:17" s="48" customFormat="1" ht="30">
      <c r="B31" s="146" t="s">
        <v>414</v>
      </c>
      <c r="C31" s="145">
        <v>70000000</v>
      </c>
      <c r="D31" s="1636"/>
      <c r="E31" s="145" t="s">
        <v>14</v>
      </c>
      <c r="F31" s="151"/>
      <c r="G31" s="145"/>
      <c r="H31" s="147"/>
      <c r="I31" s="147"/>
      <c r="J31" s="147"/>
      <c r="K31" s="147"/>
      <c r="L31" s="147"/>
      <c r="M31" s="147"/>
      <c r="N31" s="49"/>
      <c r="O31" s="651"/>
      <c r="P31" s="660"/>
      <c r="Q31" s="661"/>
    </row>
    <row r="32" spans="2:17" s="48" customFormat="1" ht="66.75">
      <c r="B32" s="140" t="s">
        <v>415</v>
      </c>
      <c r="C32" s="141">
        <f>SUM(C33:C43)</f>
        <v>10745000000</v>
      </c>
      <c r="D32" s="141"/>
      <c r="E32" s="141" t="s">
        <v>14</v>
      </c>
      <c r="F32" s="1625" t="s">
        <v>416</v>
      </c>
      <c r="G32" s="141">
        <v>10745</v>
      </c>
      <c r="H32" s="143" t="s">
        <v>5</v>
      </c>
      <c r="I32" s="155"/>
      <c r="J32" s="144"/>
      <c r="K32" s="144"/>
      <c r="L32" s="144"/>
      <c r="M32" s="144"/>
      <c r="N32" s="49"/>
      <c r="O32" s="651"/>
      <c r="P32" s="660"/>
      <c r="Q32" s="661"/>
    </row>
    <row r="33" spans="2:17" s="48" customFormat="1" ht="23.25">
      <c r="B33" s="156"/>
      <c r="C33" s="157"/>
      <c r="D33" s="145"/>
      <c r="E33" s="145"/>
      <c r="F33" s="1626"/>
      <c r="G33" s="145"/>
      <c r="H33" s="147"/>
      <c r="I33" s="158"/>
      <c r="J33" s="149"/>
      <c r="K33" s="149"/>
      <c r="L33" s="149"/>
      <c r="M33" s="149"/>
      <c r="N33" s="49"/>
      <c r="O33" s="651"/>
      <c r="P33" s="660"/>
      <c r="Q33" s="661"/>
    </row>
    <row r="34" spans="2:17" s="48" customFormat="1" ht="75">
      <c r="B34" s="146" t="s">
        <v>417</v>
      </c>
      <c r="C34" s="145">
        <v>2500000000</v>
      </c>
      <c r="D34" s="159" t="s">
        <v>78</v>
      </c>
      <c r="E34" s="145"/>
      <c r="F34" s="1626"/>
      <c r="G34" s="145"/>
      <c r="H34" s="147"/>
      <c r="I34" s="158"/>
      <c r="J34" s="149"/>
      <c r="K34" s="149"/>
      <c r="L34" s="149"/>
      <c r="M34" s="149"/>
      <c r="N34" s="49" t="s">
        <v>37</v>
      </c>
      <c r="O34" s="651" t="s">
        <v>418</v>
      </c>
      <c r="P34" s="660"/>
      <c r="Q34" s="661"/>
    </row>
    <row r="35" spans="2:17" s="48" customFormat="1" ht="89.25" customHeight="1">
      <c r="B35" s="1638" t="s">
        <v>419</v>
      </c>
      <c r="C35" s="145"/>
      <c r="D35" s="145"/>
      <c r="E35" s="145"/>
      <c r="F35" s="1626"/>
      <c r="G35" s="145"/>
      <c r="H35" s="147"/>
      <c r="I35" s="158"/>
      <c r="J35" s="149"/>
      <c r="K35" s="149"/>
      <c r="L35" s="149"/>
      <c r="M35" s="149"/>
      <c r="N35" s="1507" t="s">
        <v>14</v>
      </c>
      <c r="O35" s="1620" t="s">
        <v>420</v>
      </c>
      <c r="P35" s="1615"/>
      <c r="Q35" s="1616"/>
    </row>
    <row r="36" spans="2:17" s="48" customFormat="1" ht="23.25">
      <c r="B36" s="1639"/>
      <c r="C36" s="145">
        <v>1461250000</v>
      </c>
      <c r="D36" s="145" t="s">
        <v>421</v>
      </c>
      <c r="E36" s="145"/>
      <c r="F36" s="1626"/>
      <c r="G36" s="145"/>
      <c r="H36" s="147"/>
      <c r="I36" s="158"/>
      <c r="J36" s="149"/>
      <c r="K36" s="149"/>
      <c r="L36" s="149"/>
      <c r="M36" s="149"/>
      <c r="N36" s="1508"/>
      <c r="O36" s="1622"/>
      <c r="P36" s="1615"/>
      <c r="Q36" s="1616"/>
    </row>
    <row r="37" spans="2:17" s="48" customFormat="1" ht="23.25">
      <c r="B37" s="1639"/>
      <c r="C37" s="145">
        <v>730625000</v>
      </c>
      <c r="D37" s="145" t="s">
        <v>112</v>
      </c>
      <c r="E37" s="145"/>
      <c r="F37" s="1626"/>
      <c r="G37" s="145"/>
      <c r="H37" s="147"/>
      <c r="I37" s="158"/>
      <c r="J37" s="149"/>
      <c r="K37" s="149"/>
      <c r="L37" s="149"/>
      <c r="M37" s="149"/>
      <c r="N37" s="1508"/>
      <c r="O37" s="1622"/>
      <c r="P37" s="1615"/>
      <c r="Q37" s="1616"/>
    </row>
    <row r="38" spans="2:17" s="48" customFormat="1" ht="23.25">
      <c r="B38" s="1639"/>
      <c r="C38" s="145">
        <v>730625000</v>
      </c>
      <c r="D38" s="145" t="s">
        <v>422</v>
      </c>
      <c r="E38" s="145"/>
      <c r="F38" s="1626"/>
      <c r="G38" s="145"/>
      <c r="H38" s="147"/>
      <c r="I38" s="158"/>
      <c r="J38" s="149"/>
      <c r="K38" s="149"/>
      <c r="L38" s="149"/>
      <c r="M38" s="149"/>
      <c r="N38" s="1508"/>
      <c r="O38" s="1622"/>
      <c r="P38" s="1615"/>
      <c r="Q38" s="1616"/>
    </row>
    <row r="39" spans="2:17" s="48" customFormat="1" ht="23.25">
      <c r="B39" s="1639"/>
      <c r="C39" s="145">
        <v>730625000</v>
      </c>
      <c r="D39" s="145" t="s">
        <v>114</v>
      </c>
      <c r="E39" s="145"/>
      <c r="F39" s="1626"/>
      <c r="G39" s="145"/>
      <c r="H39" s="147"/>
      <c r="I39" s="158"/>
      <c r="J39" s="149"/>
      <c r="K39" s="149"/>
      <c r="L39" s="149"/>
      <c r="M39" s="149"/>
      <c r="N39" s="1508"/>
      <c r="O39" s="1622"/>
      <c r="P39" s="1615"/>
      <c r="Q39" s="1616"/>
    </row>
    <row r="40" spans="2:17" s="48" customFormat="1" ht="23.25">
      <c r="B40" s="1639"/>
      <c r="C40" s="145">
        <v>730625000</v>
      </c>
      <c r="D40" s="145" t="s">
        <v>423</v>
      </c>
      <c r="E40" s="145"/>
      <c r="F40" s="1626"/>
      <c r="G40" s="145"/>
      <c r="H40" s="147"/>
      <c r="I40" s="158"/>
      <c r="J40" s="149"/>
      <c r="K40" s="149"/>
      <c r="L40" s="149"/>
      <c r="M40" s="149"/>
      <c r="N40" s="1508"/>
      <c r="O40" s="1622"/>
      <c r="P40" s="1615"/>
      <c r="Q40" s="1616"/>
    </row>
    <row r="41" spans="2:17" s="48" customFormat="1" ht="23.25">
      <c r="B41" s="1639"/>
      <c r="C41" s="145">
        <v>730625000</v>
      </c>
      <c r="D41" s="145" t="s">
        <v>424</v>
      </c>
      <c r="E41" s="145"/>
      <c r="F41" s="1626"/>
      <c r="G41" s="145"/>
      <c r="H41" s="147"/>
      <c r="I41" s="158"/>
      <c r="J41" s="149"/>
      <c r="K41" s="149"/>
      <c r="L41" s="149"/>
      <c r="M41" s="149"/>
      <c r="N41" s="1508"/>
      <c r="O41" s="1622"/>
      <c r="P41" s="1615"/>
      <c r="Q41" s="1616"/>
    </row>
    <row r="42" spans="2:17" s="48" customFormat="1" ht="23.25">
      <c r="B42" s="1640"/>
      <c r="C42" s="145">
        <v>730625000</v>
      </c>
      <c r="D42" s="145" t="s">
        <v>389</v>
      </c>
      <c r="E42" s="145"/>
      <c r="F42" s="1626"/>
      <c r="G42" s="145"/>
      <c r="H42" s="147"/>
      <c r="I42" s="158"/>
      <c r="J42" s="149"/>
      <c r="K42" s="149"/>
      <c r="L42" s="149"/>
      <c r="M42" s="149"/>
      <c r="N42" s="1509"/>
      <c r="O42" s="1621"/>
      <c r="P42" s="1615"/>
      <c r="Q42" s="1616"/>
    </row>
    <row r="43" spans="2:17" s="48" customFormat="1" ht="157.5">
      <c r="B43" s="160" t="s">
        <v>425</v>
      </c>
      <c r="C43" s="145">
        <v>2400000000</v>
      </c>
      <c r="D43" s="145" t="s">
        <v>0</v>
      </c>
      <c r="E43" s="145"/>
      <c r="F43" s="1627"/>
      <c r="G43" s="145"/>
      <c r="H43" s="147"/>
      <c r="I43" s="158"/>
      <c r="J43" s="149"/>
      <c r="K43" s="149"/>
      <c r="L43" s="149"/>
      <c r="M43" s="149"/>
      <c r="N43" s="49" t="s">
        <v>37</v>
      </c>
      <c r="O43" s="651" t="s">
        <v>418</v>
      </c>
      <c r="P43" s="660"/>
      <c r="Q43" s="661"/>
    </row>
    <row r="44" spans="2:17" s="48" customFormat="1" ht="54">
      <c r="B44" s="140" t="s">
        <v>426</v>
      </c>
      <c r="C44" s="141">
        <f>SUM(C45:C50)</f>
        <v>25000000000</v>
      </c>
      <c r="D44" s="161"/>
      <c r="E44" s="141" t="s">
        <v>14</v>
      </c>
      <c r="F44" s="162"/>
      <c r="G44" s="141">
        <v>25000</v>
      </c>
      <c r="H44" s="163" t="s">
        <v>4</v>
      </c>
      <c r="I44" s="155"/>
      <c r="J44" s="144"/>
      <c r="K44" s="144"/>
      <c r="L44" s="144"/>
      <c r="M44" s="144"/>
      <c r="N44" s="141"/>
      <c r="O44" s="653"/>
      <c r="P44" s="663"/>
      <c r="Q44" s="664"/>
    </row>
    <row r="45" spans="2:17" s="48" customFormat="1" ht="23.25">
      <c r="B45" s="1617" t="s">
        <v>427</v>
      </c>
      <c r="C45" s="145">
        <v>60000000</v>
      </c>
      <c r="D45" s="146" t="s">
        <v>1</v>
      </c>
      <c r="E45" s="145"/>
      <c r="F45" s="164"/>
      <c r="G45" s="145"/>
      <c r="H45" s="165"/>
      <c r="I45" s="158"/>
      <c r="J45" s="149"/>
      <c r="K45" s="149"/>
      <c r="L45" s="149"/>
      <c r="M45" s="149"/>
      <c r="N45" s="49"/>
      <c r="O45" s="651"/>
      <c r="P45" s="660"/>
      <c r="Q45" s="661"/>
    </row>
    <row r="46" spans="2:17" s="48" customFormat="1" ht="75">
      <c r="B46" s="1619"/>
      <c r="C46" s="145">
        <v>3000000000</v>
      </c>
      <c r="D46" s="145" t="s">
        <v>0</v>
      </c>
      <c r="E46" s="145" t="s">
        <v>14</v>
      </c>
      <c r="F46" s="166" t="s">
        <v>428</v>
      </c>
      <c r="G46" s="145"/>
      <c r="H46" s="165"/>
      <c r="I46" s="158"/>
      <c r="J46" s="149"/>
      <c r="K46" s="149"/>
      <c r="L46" s="149"/>
      <c r="M46" s="149"/>
      <c r="N46" s="49" t="s">
        <v>14</v>
      </c>
      <c r="O46" s="651" t="s">
        <v>429</v>
      </c>
      <c r="P46" s="660"/>
      <c r="Q46" s="661"/>
    </row>
    <row r="47" spans="2:17" s="48" customFormat="1" ht="60">
      <c r="B47" s="146" t="s">
        <v>430</v>
      </c>
      <c r="C47" s="145">
        <v>113000000</v>
      </c>
      <c r="D47" s="146" t="s">
        <v>3</v>
      </c>
      <c r="E47" s="145"/>
      <c r="F47" s="164"/>
      <c r="G47" s="145"/>
      <c r="H47" s="165"/>
      <c r="I47" s="158"/>
      <c r="J47" s="149"/>
      <c r="K47" s="149"/>
      <c r="L47" s="149"/>
      <c r="M47" s="149"/>
      <c r="N47" s="49"/>
      <c r="O47" s="651"/>
      <c r="P47" s="660"/>
      <c r="Q47" s="661"/>
    </row>
    <row r="48" spans="2:17" s="48" customFormat="1" ht="120">
      <c r="B48" s="146" t="s">
        <v>431</v>
      </c>
      <c r="C48" s="145">
        <v>7700000000</v>
      </c>
      <c r="D48" s="145" t="s">
        <v>0</v>
      </c>
      <c r="E48" s="145"/>
      <c r="F48" s="166" t="s">
        <v>432</v>
      </c>
      <c r="G48" s="145"/>
      <c r="H48" s="147"/>
      <c r="I48" s="158"/>
      <c r="J48" s="149"/>
      <c r="K48" s="149"/>
      <c r="L48" s="149"/>
      <c r="M48" s="149"/>
      <c r="N48" s="49" t="s">
        <v>14</v>
      </c>
      <c r="O48" s="651" t="s">
        <v>429</v>
      </c>
      <c r="P48" s="660"/>
      <c r="Q48" s="661"/>
    </row>
    <row r="49" spans="2:17" s="48" customFormat="1" ht="105">
      <c r="B49" s="167" t="s">
        <v>433</v>
      </c>
      <c r="C49" s="145">
        <v>11000000000</v>
      </c>
      <c r="D49" s="146" t="s">
        <v>0</v>
      </c>
      <c r="E49" s="145" t="s">
        <v>14</v>
      </c>
      <c r="F49" s="152"/>
      <c r="G49" s="145"/>
      <c r="H49" s="147"/>
      <c r="I49" s="158"/>
      <c r="J49" s="149"/>
      <c r="K49" s="149"/>
      <c r="L49" s="149"/>
      <c r="M49" s="149"/>
      <c r="N49" s="49" t="s">
        <v>14</v>
      </c>
      <c r="O49" s="651" t="s">
        <v>434</v>
      </c>
      <c r="P49" s="660"/>
      <c r="Q49" s="661"/>
    </row>
    <row r="50" spans="2:17" s="48" customFormat="1" ht="196.5" customHeight="1">
      <c r="B50" s="167" t="s">
        <v>435</v>
      </c>
      <c r="C50" s="145">
        <v>3127000000</v>
      </c>
      <c r="D50" s="146" t="s">
        <v>0</v>
      </c>
      <c r="E50" s="145"/>
      <c r="F50" s="152"/>
      <c r="G50" s="145"/>
      <c r="H50" s="147"/>
      <c r="I50" s="158"/>
      <c r="J50" s="149"/>
      <c r="K50" s="149"/>
      <c r="L50" s="149"/>
      <c r="M50" s="149"/>
      <c r="N50" s="49" t="s">
        <v>37</v>
      </c>
      <c r="O50" s="651" t="s">
        <v>436</v>
      </c>
      <c r="P50" s="660"/>
      <c r="Q50" s="661"/>
    </row>
    <row r="51" spans="2:17" s="48" customFormat="1" ht="79.5">
      <c r="B51" s="140" t="s">
        <v>437</v>
      </c>
      <c r="C51" s="141">
        <f>SUM(C52:C84)</f>
        <v>2189000000</v>
      </c>
      <c r="D51" s="141" t="s">
        <v>408</v>
      </c>
      <c r="E51" s="141" t="s">
        <v>37</v>
      </c>
      <c r="F51" s="141" t="s">
        <v>438</v>
      </c>
      <c r="G51" s="141">
        <v>4189</v>
      </c>
      <c r="H51" s="1634" t="s">
        <v>439</v>
      </c>
      <c r="I51" s="1634"/>
      <c r="J51" s="1634"/>
      <c r="K51" s="1634"/>
      <c r="L51" s="1634"/>
      <c r="M51" s="1634"/>
      <c r="N51" s="141"/>
      <c r="O51" s="653"/>
      <c r="P51" s="663"/>
      <c r="Q51" s="664"/>
    </row>
    <row r="52" spans="2:17" s="48" customFormat="1">
      <c r="B52" s="1617" t="s">
        <v>440</v>
      </c>
      <c r="C52" s="145">
        <f>1914000000-1914000000</f>
        <v>0</v>
      </c>
      <c r="D52" s="146" t="s">
        <v>0</v>
      </c>
      <c r="E52" s="145"/>
      <c r="F52" s="145"/>
      <c r="G52" s="145"/>
      <c r="H52" s="153"/>
      <c r="I52" s="153"/>
      <c r="J52" s="153"/>
      <c r="K52" s="153"/>
      <c r="L52" s="153"/>
      <c r="M52" s="153"/>
      <c r="N52" s="49"/>
      <c r="O52" s="1620" t="s">
        <v>441</v>
      </c>
      <c r="P52" s="660"/>
      <c r="Q52" s="660"/>
    </row>
    <row r="53" spans="2:17" s="48" customFormat="1">
      <c r="B53" s="1619"/>
      <c r="C53" s="145">
        <v>15000000</v>
      </c>
      <c r="D53" s="146" t="s">
        <v>75</v>
      </c>
      <c r="E53" s="145"/>
      <c r="F53" s="145"/>
      <c r="G53" s="145"/>
      <c r="H53" s="153"/>
      <c r="I53" s="153"/>
      <c r="J53" s="153"/>
      <c r="K53" s="153"/>
      <c r="L53" s="153"/>
      <c r="M53" s="153"/>
      <c r="N53" s="49"/>
      <c r="O53" s="1622"/>
      <c r="P53" s="660"/>
      <c r="Q53" s="660"/>
    </row>
    <row r="54" spans="2:17" s="48" customFormat="1" ht="14.25">
      <c r="B54" s="1617" t="s">
        <v>442</v>
      </c>
      <c r="C54" s="145"/>
      <c r="D54" s="145"/>
      <c r="E54" s="145"/>
      <c r="F54" s="145"/>
      <c r="G54" s="145"/>
      <c r="H54" s="153"/>
      <c r="I54" s="153"/>
      <c r="J54" s="153"/>
      <c r="K54" s="153"/>
      <c r="L54" s="153"/>
      <c r="M54" s="153"/>
      <c r="N54" s="1507"/>
      <c r="O54" s="1622"/>
      <c r="P54" s="1615"/>
      <c r="Q54" s="1615"/>
    </row>
    <row r="55" spans="2:17" s="48" customFormat="1">
      <c r="B55" s="1619"/>
      <c r="C55" s="145">
        <v>15000000</v>
      </c>
      <c r="D55" s="146" t="s">
        <v>1</v>
      </c>
      <c r="E55" s="145"/>
      <c r="F55" s="145"/>
      <c r="G55" s="145"/>
      <c r="H55" s="153"/>
      <c r="I55" s="153"/>
      <c r="J55" s="153"/>
      <c r="K55" s="153"/>
      <c r="L55" s="153"/>
      <c r="M55" s="153"/>
      <c r="N55" s="1509"/>
      <c r="O55" s="1622"/>
      <c r="P55" s="1615"/>
      <c r="Q55" s="1615"/>
    </row>
    <row r="56" spans="2:17" s="48" customFormat="1">
      <c r="B56" s="1617" t="s">
        <v>443</v>
      </c>
      <c r="C56" s="145">
        <v>50000000</v>
      </c>
      <c r="D56" s="146" t="s">
        <v>75</v>
      </c>
      <c r="E56" s="145"/>
      <c r="F56" s="145"/>
      <c r="G56" s="145"/>
      <c r="H56" s="153"/>
      <c r="I56" s="153"/>
      <c r="J56" s="153"/>
      <c r="K56" s="153"/>
      <c r="L56" s="153"/>
      <c r="M56" s="153"/>
      <c r="N56" s="49"/>
      <c r="O56" s="1622"/>
      <c r="P56" s="660"/>
      <c r="Q56" s="660"/>
    </row>
    <row r="57" spans="2:17" s="48" customFormat="1">
      <c r="B57" s="1618"/>
      <c r="C57" s="145">
        <v>40000000</v>
      </c>
      <c r="D57" s="146" t="s">
        <v>33</v>
      </c>
      <c r="E57" s="145"/>
      <c r="F57" s="145"/>
      <c r="G57" s="145"/>
      <c r="H57" s="153"/>
      <c r="I57" s="153"/>
      <c r="J57" s="153"/>
      <c r="K57" s="153"/>
      <c r="L57" s="153"/>
      <c r="M57" s="153"/>
      <c r="N57" s="49"/>
      <c r="O57" s="1622"/>
      <c r="P57" s="660"/>
      <c r="Q57" s="660"/>
    </row>
    <row r="58" spans="2:17" s="48" customFormat="1">
      <c r="B58" s="1618"/>
      <c r="C58" s="145">
        <f>310000000-40000000</f>
        <v>270000000</v>
      </c>
      <c r="D58" s="146" t="s">
        <v>444</v>
      </c>
      <c r="E58" s="145"/>
      <c r="F58" s="145"/>
      <c r="G58" s="145"/>
      <c r="H58" s="153"/>
      <c r="I58" s="153"/>
      <c r="J58" s="153"/>
      <c r="K58" s="153"/>
      <c r="L58" s="153"/>
      <c r="M58" s="153"/>
      <c r="N58" s="49"/>
      <c r="O58" s="1622"/>
      <c r="P58" s="660"/>
      <c r="Q58" s="660"/>
    </row>
    <row r="59" spans="2:17" s="48" customFormat="1">
      <c r="B59" s="1618"/>
      <c r="C59" s="145">
        <v>200000000</v>
      </c>
      <c r="D59" s="146" t="s">
        <v>1</v>
      </c>
      <c r="E59" s="145"/>
      <c r="F59" s="145"/>
      <c r="G59" s="145"/>
      <c r="H59" s="153"/>
      <c r="I59" s="153"/>
      <c r="J59" s="153"/>
      <c r="K59" s="153"/>
      <c r="L59" s="153"/>
      <c r="M59" s="153"/>
      <c r="N59" s="49"/>
      <c r="O59" s="1622"/>
      <c r="P59" s="660"/>
      <c r="Q59" s="660"/>
    </row>
    <row r="60" spans="2:17" s="48" customFormat="1" ht="30">
      <c r="B60" s="1618"/>
      <c r="C60" s="145">
        <v>150000000</v>
      </c>
      <c r="D60" s="146" t="s">
        <v>34</v>
      </c>
      <c r="E60" s="145"/>
      <c r="F60" s="145"/>
      <c r="G60" s="145"/>
      <c r="H60" s="153"/>
      <c r="I60" s="153"/>
      <c r="J60" s="153"/>
      <c r="K60" s="153"/>
      <c r="L60" s="153"/>
      <c r="M60" s="153"/>
      <c r="N60" s="49"/>
      <c r="O60" s="1622"/>
      <c r="P60" s="660"/>
      <c r="Q60" s="660"/>
    </row>
    <row r="61" spans="2:17" s="48" customFormat="1">
      <c r="B61" s="1619"/>
      <c r="C61" s="145">
        <v>110000000</v>
      </c>
      <c r="D61" s="146" t="s">
        <v>3</v>
      </c>
      <c r="E61" s="145"/>
      <c r="F61" s="145"/>
      <c r="G61" s="145"/>
      <c r="H61" s="153"/>
      <c r="I61" s="153"/>
      <c r="J61" s="153"/>
      <c r="K61" s="153"/>
      <c r="L61" s="153"/>
      <c r="M61" s="153"/>
      <c r="N61" s="49"/>
      <c r="O61" s="1622"/>
      <c r="P61" s="660"/>
      <c r="Q61" s="660"/>
    </row>
    <row r="62" spans="2:17" s="48" customFormat="1">
      <c r="B62" s="1617" t="s">
        <v>156</v>
      </c>
      <c r="C62" s="145">
        <v>120000000</v>
      </c>
      <c r="D62" s="146" t="s">
        <v>75</v>
      </c>
      <c r="E62" s="145"/>
      <c r="F62" s="145"/>
      <c r="G62" s="145"/>
      <c r="H62" s="153"/>
      <c r="I62" s="153"/>
      <c r="J62" s="153"/>
      <c r="K62" s="153"/>
      <c r="L62" s="153"/>
      <c r="M62" s="153"/>
      <c r="N62" s="49"/>
      <c r="O62" s="1622"/>
      <c r="P62" s="660"/>
      <c r="Q62" s="660"/>
    </row>
    <row r="63" spans="2:17" s="48" customFormat="1">
      <c r="B63" s="1618"/>
      <c r="C63" s="145">
        <v>40000000</v>
      </c>
      <c r="D63" s="146" t="s">
        <v>33</v>
      </c>
      <c r="E63" s="145"/>
      <c r="F63" s="145"/>
      <c r="G63" s="145"/>
      <c r="H63" s="153"/>
      <c r="I63" s="153"/>
      <c r="J63" s="153"/>
      <c r="K63" s="153"/>
      <c r="L63" s="153"/>
      <c r="M63" s="153"/>
      <c r="N63" s="49"/>
      <c r="O63" s="1622"/>
      <c r="P63" s="660"/>
      <c r="Q63" s="660"/>
    </row>
    <row r="64" spans="2:17" s="48" customFormat="1">
      <c r="B64" s="1618"/>
      <c r="C64" s="145">
        <v>30000000</v>
      </c>
      <c r="D64" s="146" t="s">
        <v>2</v>
      </c>
      <c r="E64" s="145"/>
      <c r="F64" s="145"/>
      <c r="G64" s="145"/>
      <c r="H64" s="153"/>
      <c r="I64" s="153"/>
      <c r="J64" s="153"/>
      <c r="K64" s="153"/>
      <c r="L64" s="153"/>
      <c r="M64" s="153"/>
      <c r="N64" s="49"/>
      <c r="O64" s="1622"/>
      <c r="P64" s="660"/>
      <c r="Q64" s="660"/>
    </row>
    <row r="65" spans="2:17" s="48" customFormat="1">
      <c r="B65" s="1618"/>
      <c r="C65" s="145">
        <v>50000000</v>
      </c>
      <c r="D65" s="146" t="s">
        <v>1</v>
      </c>
      <c r="E65" s="145"/>
      <c r="F65" s="145"/>
      <c r="G65" s="145"/>
      <c r="H65" s="153"/>
      <c r="I65" s="153"/>
      <c r="J65" s="153"/>
      <c r="K65" s="153"/>
      <c r="L65" s="153"/>
      <c r="M65" s="153"/>
      <c r="N65" s="49"/>
      <c r="O65" s="1622"/>
      <c r="P65" s="660"/>
      <c r="Q65" s="660"/>
    </row>
    <row r="66" spans="2:17" s="48" customFormat="1">
      <c r="B66" s="1619"/>
      <c r="C66" s="145">
        <v>20000000</v>
      </c>
      <c r="D66" s="146" t="s">
        <v>3</v>
      </c>
      <c r="E66" s="145"/>
      <c r="F66" s="145"/>
      <c r="G66" s="145"/>
      <c r="H66" s="153"/>
      <c r="I66" s="153"/>
      <c r="J66" s="153"/>
      <c r="K66" s="153"/>
      <c r="L66" s="153"/>
      <c r="M66" s="153"/>
      <c r="N66" s="49"/>
      <c r="O66" s="1622"/>
      <c r="P66" s="660"/>
      <c r="Q66" s="660"/>
    </row>
    <row r="67" spans="2:17" s="48" customFormat="1">
      <c r="B67" s="1617" t="s">
        <v>445</v>
      </c>
      <c r="C67" s="145">
        <v>20000000</v>
      </c>
      <c r="D67" s="146" t="s">
        <v>75</v>
      </c>
      <c r="E67" s="145"/>
      <c r="F67" s="145"/>
      <c r="G67" s="145"/>
      <c r="H67" s="153"/>
      <c r="I67" s="153"/>
      <c r="J67" s="153"/>
      <c r="K67" s="153"/>
      <c r="L67" s="153"/>
      <c r="M67" s="153"/>
      <c r="N67" s="49"/>
      <c r="O67" s="1622"/>
      <c r="P67" s="660"/>
      <c r="Q67" s="660"/>
    </row>
    <row r="68" spans="2:17" s="48" customFormat="1">
      <c r="B68" s="1618"/>
      <c r="C68" s="145">
        <v>40000000</v>
      </c>
      <c r="D68" s="146" t="s">
        <v>446</v>
      </c>
      <c r="E68" s="145"/>
      <c r="F68" s="145"/>
      <c r="G68" s="145"/>
      <c r="H68" s="153"/>
      <c r="I68" s="153"/>
      <c r="J68" s="153"/>
      <c r="K68" s="153"/>
      <c r="L68" s="153"/>
      <c r="M68" s="153"/>
      <c r="N68" s="49"/>
      <c r="O68" s="1622"/>
      <c r="P68" s="660"/>
      <c r="Q68" s="660"/>
    </row>
    <row r="69" spans="2:17" s="48" customFormat="1">
      <c r="B69" s="1619"/>
      <c r="C69" s="145">
        <v>20000000</v>
      </c>
      <c r="D69" s="146" t="s">
        <v>3</v>
      </c>
      <c r="E69" s="145"/>
      <c r="F69" s="145"/>
      <c r="G69" s="145"/>
      <c r="H69" s="153"/>
      <c r="I69" s="153"/>
      <c r="J69" s="153"/>
      <c r="K69" s="153"/>
      <c r="L69" s="153"/>
      <c r="M69" s="153"/>
      <c r="N69" s="49"/>
      <c r="O69" s="1622"/>
      <c r="P69" s="660"/>
      <c r="Q69" s="660"/>
    </row>
    <row r="70" spans="2:17" s="48" customFormat="1">
      <c r="B70" s="1617" t="s">
        <v>157</v>
      </c>
      <c r="C70" s="145">
        <v>120000000</v>
      </c>
      <c r="D70" s="146" t="s">
        <v>75</v>
      </c>
      <c r="E70" s="145"/>
      <c r="F70" s="145"/>
      <c r="G70" s="145"/>
      <c r="H70" s="153"/>
      <c r="I70" s="153"/>
      <c r="J70" s="153"/>
      <c r="K70" s="153"/>
      <c r="L70" s="153"/>
      <c r="M70" s="153"/>
      <c r="N70" s="49"/>
      <c r="O70" s="1622"/>
      <c r="P70" s="660"/>
      <c r="Q70" s="660"/>
    </row>
    <row r="71" spans="2:17" s="48" customFormat="1">
      <c r="B71" s="1618"/>
      <c r="C71" s="145">
        <v>50000000</v>
      </c>
      <c r="D71" s="146" t="s">
        <v>33</v>
      </c>
      <c r="E71" s="145"/>
      <c r="F71" s="145"/>
      <c r="G71" s="145"/>
      <c r="H71" s="153"/>
      <c r="I71" s="153"/>
      <c r="J71" s="153"/>
      <c r="K71" s="153"/>
      <c r="L71" s="153"/>
      <c r="M71" s="153"/>
      <c r="N71" s="49"/>
      <c r="O71" s="1622"/>
      <c r="P71" s="660"/>
      <c r="Q71" s="660"/>
    </row>
    <row r="72" spans="2:17" s="48" customFormat="1">
      <c r="B72" s="1618"/>
      <c r="C72" s="145">
        <v>40000000</v>
      </c>
      <c r="D72" s="146" t="s">
        <v>2</v>
      </c>
      <c r="E72" s="145"/>
      <c r="F72" s="145"/>
      <c r="G72" s="145"/>
      <c r="H72" s="153"/>
      <c r="I72" s="153"/>
      <c r="J72" s="153"/>
      <c r="K72" s="153"/>
      <c r="L72" s="153"/>
      <c r="M72" s="153"/>
      <c r="N72" s="49"/>
      <c r="O72" s="1622"/>
      <c r="P72" s="660"/>
      <c r="Q72" s="660"/>
    </row>
    <row r="73" spans="2:17" s="48" customFormat="1">
      <c r="B73" s="1618"/>
      <c r="C73" s="145">
        <v>60000000</v>
      </c>
      <c r="D73" s="146" t="s">
        <v>1</v>
      </c>
      <c r="E73" s="145"/>
      <c r="F73" s="145"/>
      <c r="G73" s="145"/>
      <c r="H73" s="153"/>
      <c r="I73" s="153"/>
      <c r="J73" s="153"/>
      <c r="K73" s="153"/>
      <c r="L73" s="153"/>
      <c r="M73" s="153"/>
      <c r="N73" s="49"/>
      <c r="O73" s="1622"/>
      <c r="P73" s="660"/>
      <c r="Q73" s="660"/>
    </row>
    <row r="74" spans="2:17" s="48" customFormat="1" ht="30">
      <c r="B74" s="1618"/>
      <c r="C74" s="145">
        <v>20000000</v>
      </c>
      <c r="D74" s="146" t="s">
        <v>34</v>
      </c>
      <c r="E74" s="145"/>
      <c r="F74" s="145"/>
      <c r="G74" s="145"/>
      <c r="H74" s="153"/>
      <c r="I74" s="153"/>
      <c r="J74" s="153"/>
      <c r="K74" s="153"/>
      <c r="L74" s="153"/>
      <c r="M74" s="153"/>
      <c r="N74" s="49"/>
      <c r="O74" s="1622"/>
      <c r="P74" s="660"/>
      <c r="Q74" s="660"/>
    </row>
    <row r="75" spans="2:17" s="48" customFormat="1">
      <c r="B75" s="1619"/>
      <c r="C75" s="145">
        <v>85000000</v>
      </c>
      <c r="D75" s="146" t="s">
        <v>3</v>
      </c>
      <c r="E75" s="145"/>
      <c r="F75" s="145"/>
      <c r="G75" s="145"/>
      <c r="H75" s="153"/>
      <c r="I75" s="153"/>
      <c r="J75" s="153"/>
      <c r="K75" s="153"/>
      <c r="L75" s="153"/>
      <c r="M75" s="153"/>
      <c r="N75" s="49"/>
      <c r="O75" s="1622"/>
      <c r="P75" s="660"/>
      <c r="Q75" s="660"/>
    </row>
    <row r="76" spans="2:17" s="48" customFormat="1" ht="30">
      <c r="B76" s="167" t="s">
        <v>447</v>
      </c>
      <c r="C76" s="145">
        <v>80000000</v>
      </c>
      <c r="D76" s="146" t="s">
        <v>75</v>
      </c>
      <c r="E76" s="145"/>
      <c r="F76" s="145"/>
      <c r="G76" s="145"/>
      <c r="H76" s="153"/>
      <c r="I76" s="153"/>
      <c r="J76" s="153"/>
      <c r="K76" s="153"/>
      <c r="L76" s="153"/>
      <c r="M76" s="153"/>
      <c r="N76" s="49"/>
      <c r="O76" s="1622"/>
      <c r="P76" s="660"/>
      <c r="Q76" s="660"/>
    </row>
    <row r="77" spans="2:17" s="48" customFormat="1">
      <c r="B77" s="1617" t="s">
        <v>158</v>
      </c>
      <c r="C77" s="145">
        <v>25000000</v>
      </c>
      <c r="D77" s="146" t="s">
        <v>33</v>
      </c>
      <c r="E77" s="145"/>
      <c r="F77" s="145"/>
      <c r="G77" s="145"/>
      <c r="H77" s="153"/>
      <c r="I77" s="153"/>
      <c r="J77" s="153"/>
      <c r="K77" s="153"/>
      <c r="L77" s="153"/>
      <c r="M77" s="153"/>
      <c r="N77" s="49"/>
      <c r="O77" s="1622"/>
      <c r="P77" s="660"/>
      <c r="Q77" s="660"/>
    </row>
    <row r="78" spans="2:17" s="48" customFormat="1">
      <c r="B78" s="1618"/>
      <c r="C78" s="145">
        <v>15000000</v>
      </c>
      <c r="D78" s="146" t="s">
        <v>2</v>
      </c>
      <c r="E78" s="145"/>
      <c r="F78" s="145"/>
      <c r="G78" s="145"/>
      <c r="H78" s="153"/>
      <c r="I78" s="153"/>
      <c r="J78" s="153"/>
      <c r="K78" s="153"/>
      <c r="L78" s="153"/>
      <c r="M78" s="153"/>
      <c r="N78" s="49"/>
      <c r="O78" s="1622"/>
      <c r="P78" s="660"/>
      <c r="Q78" s="660"/>
    </row>
    <row r="79" spans="2:17" s="48" customFormat="1">
      <c r="B79" s="1618"/>
      <c r="C79" s="145">
        <v>20000000</v>
      </c>
      <c r="D79" s="146" t="s">
        <v>1</v>
      </c>
      <c r="E79" s="145"/>
      <c r="F79" s="145"/>
      <c r="G79" s="145"/>
      <c r="H79" s="153"/>
      <c r="I79" s="153"/>
      <c r="J79" s="153"/>
      <c r="K79" s="153"/>
      <c r="L79" s="153"/>
      <c r="M79" s="153"/>
      <c r="N79" s="49"/>
      <c r="O79" s="1622"/>
      <c r="P79" s="660"/>
      <c r="Q79" s="660"/>
    </row>
    <row r="80" spans="2:17" s="48" customFormat="1">
      <c r="B80" s="1619"/>
      <c r="C80" s="145">
        <v>50000000</v>
      </c>
      <c r="D80" s="146" t="s">
        <v>3</v>
      </c>
      <c r="E80" s="145"/>
      <c r="F80" s="145"/>
      <c r="G80" s="145"/>
      <c r="H80" s="153"/>
      <c r="I80" s="153"/>
      <c r="J80" s="153"/>
      <c r="K80" s="153"/>
      <c r="L80" s="153"/>
      <c r="M80" s="153"/>
      <c r="N80" s="49"/>
      <c r="O80" s="1622"/>
      <c r="P80" s="660"/>
      <c r="Q80" s="660"/>
    </row>
    <row r="81" spans="2:17" s="48" customFormat="1">
      <c r="B81" s="1617" t="s">
        <v>159</v>
      </c>
      <c r="C81" s="145">
        <v>50000000</v>
      </c>
      <c r="D81" s="146" t="s">
        <v>75</v>
      </c>
      <c r="E81" s="145"/>
      <c r="F81" s="145"/>
      <c r="G81" s="145"/>
      <c r="H81" s="153"/>
      <c r="I81" s="153"/>
      <c r="J81" s="153"/>
      <c r="K81" s="153"/>
      <c r="L81" s="153"/>
      <c r="M81" s="153"/>
      <c r="N81" s="49"/>
      <c r="O81" s="1622"/>
      <c r="P81" s="660"/>
      <c r="Q81" s="660"/>
    </row>
    <row r="82" spans="2:17" s="48" customFormat="1">
      <c r="B82" s="1618"/>
      <c r="C82" s="145">
        <v>80000000</v>
      </c>
      <c r="D82" s="146" t="s">
        <v>33</v>
      </c>
      <c r="E82" s="145"/>
      <c r="F82" s="145"/>
      <c r="G82" s="145"/>
      <c r="H82" s="153"/>
      <c r="I82" s="153"/>
      <c r="J82" s="153"/>
      <c r="K82" s="153"/>
      <c r="L82" s="153"/>
      <c r="M82" s="153"/>
      <c r="N82" s="49"/>
      <c r="O82" s="1622"/>
      <c r="P82" s="660"/>
      <c r="Q82" s="660"/>
    </row>
    <row r="83" spans="2:17" s="48" customFormat="1">
      <c r="B83" s="1618"/>
      <c r="C83" s="145">
        <f>250000000-46000000</f>
        <v>204000000</v>
      </c>
      <c r="D83" s="146" t="s">
        <v>448</v>
      </c>
      <c r="E83" s="145"/>
      <c r="F83" s="145"/>
      <c r="G83" s="145"/>
      <c r="H83" s="153"/>
      <c r="I83" s="153"/>
      <c r="J83" s="153"/>
      <c r="K83" s="153"/>
      <c r="L83" s="153"/>
      <c r="M83" s="153"/>
      <c r="N83" s="49"/>
      <c r="O83" s="1622"/>
      <c r="P83" s="660"/>
      <c r="Q83" s="660"/>
    </row>
    <row r="84" spans="2:17" s="48" customFormat="1">
      <c r="B84" s="1619"/>
      <c r="C84" s="145">
        <v>100000000</v>
      </c>
      <c r="D84" s="146" t="s">
        <v>3</v>
      </c>
      <c r="E84" s="145"/>
      <c r="F84" s="145"/>
      <c r="G84" s="145"/>
      <c r="H84" s="153"/>
      <c r="I84" s="153"/>
      <c r="J84" s="153"/>
      <c r="K84" s="153"/>
      <c r="L84" s="153"/>
      <c r="M84" s="153"/>
      <c r="N84" s="49"/>
      <c r="O84" s="1621"/>
      <c r="P84" s="660"/>
      <c r="Q84" s="660"/>
    </row>
    <row r="85" spans="2:17" s="48" customFormat="1" ht="63.75">
      <c r="B85" s="140" t="s">
        <v>449</v>
      </c>
      <c r="C85" s="141">
        <f>SUM(C86:C87)</f>
        <v>21000000000</v>
      </c>
      <c r="D85" s="161"/>
      <c r="E85" s="141" t="s">
        <v>14</v>
      </c>
      <c r="F85" s="168" t="s">
        <v>450</v>
      </c>
      <c r="G85" s="141">
        <v>15000</v>
      </c>
      <c r="H85" s="143" t="s">
        <v>4</v>
      </c>
      <c r="I85" s="169"/>
      <c r="J85" s="169"/>
      <c r="K85" s="169"/>
      <c r="L85" s="169"/>
      <c r="M85" s="169"/>
      <c r="N85" s="161"/>
      <c r="O85" s="654"/>
      <c r="P85" s="665"/>
      <c r="Q85" s="666"/>
    </row>
    <row r="86" spans="2:17" s="48" customFormat="1" ht="41.25" customHeight="1">
      <c r="B86" s="1646" t="s">
        <v>451</v>
      </c>
      <c r="C86" s="145">
        <f>7500000000+3000000000</f>
        <v>10500000000</v>
      </c>
      <c r="D86" s="170" t="s">
        <v>452</v>
      </c>
      <c r="E86" s="145" t="s">
        <v>14</v>
      </c>
      <c r="F86" s="145"/>
      <c r="G86" s="145"/>
      <c r="H86" s="153"/>
      <c r="I86" s="153"/>
      <c r="J86" s="153"/>
      <c r="K86" s="153"/>
      <c r="L86" s="153"/>
      <c r="M86" s="153"/>
      <c r="N86" s="49" t="s">
        <v>14</v>
      </c>
      <c r="O86" s="651" t="s">
        <v>453</v>
      </c>
      <c r="P86" s="660"/>
      <c r="Q86" s="661"/>
    </row>
    <row r="87" spans="2:17" s="48" customFormat="1" ht="166.5" customHeight="1">
      <c r="B87" s="1647"/>
      <c r="C87" s="145">
        <f>7500000000+3000000000</f>
        <v>10500000000</v>
      </c>
      <c r="D87" s="170" t="s">
        <v>454</v>
      </c>
      <c r="E87" s="145" t="s">
        <v>14</v>
      </c>
      <c r="F87" s="145"/>
      <c r="G87" s="145"/>
      <c r="H87" s="153"/>
      <c r="I87" s="153"/>
      <c r="J87" s="153"/>
      <c r="K87" s="153"/>
      <c r="L87" s="153"/>
      <c r="M87" s="153"/>
      <c r="N87" s="49" t="s">
        <v>37</v>
      </c>
      <c r="O87" s="651" t="s">
        <v>455</v>
      </c>
      <c r="P87" s="660"/>
      <c r="Q87" s="661"/>
    </row>
    <row r="88" spans="2:17" s="48" customFormat="1" ht="92.25">
      <c r="B88" s="140" t="s">
        <v>456</v>
      </c>
      <c r="C88" s="141">
        <f>SUM(C89:C150)</f>
        <v>13650000000</v>
      </c>
      <c r="D88" s="141"/>
      <c r="E88" s="141" t="s">
        <v>457</v>
      </c>
      <c r="F88" s="161"/>
      <c r="G88" s="141">
        <v>17650</v>
      </c>
      <c r="H88" s="171" t="s">
        <v>4</v>
      </c>
      <c r="I88" s="169"/>
      <c r="J88" s="169"/>
      <c r="K88" s="169"/>
      <c r="L88" s="169"/>
      <c r="M88" s="169"/>
      <c r="N88" s="141"/>
      <c r="O88" s="653"/>
      <c r="P88" s="663"/>
      <c r="Q88" s="664"/>
    </row>
    <row r="89" spans="2:17" s="48" customFormat="1" ht="252">
      <c r="B89" s="1617" t="s">
        <v>458</v>
      </c>
      <c r="C89" s="145">
        <f>5388000000-4000000000</f>
        <v>1388000000</v>
      </c>
      <c r="D89" s="146" t="s">
        <v>0</v>
      </c>
      <c r="E89" s="145"/>
      <c r="F89" s="172"/>
      <c r="G89" s="145"/>
      <c r="H89" s="173"/>
      <c r="I89" s="153"/>
      <c r="J89" s="153"/>
      <c r="K89" s="153"/>
      <c r="L89" s="153"/>
      <c r="M89" s="153"/>
      <c r="N89" s="49" t="s">
        <v>14</v>
      </c>
      <c r="O89" s="651" t="s">
        <v>459</v>
      </c>
      <c r="P89" s="660"/>
      <c r="Q89" s="661"/>
    </row>
    <row r="90" spans="2:17" s="48" customFormat="1">
      <c r="B90" s="1618"/>
      <c r="C90" s="145">
        <v>280000000</v>
      </c>
      <c r="D90" s="146" t="s">
        <v>75</v>
      </c>
      <c r="E90" s="145"/>
      <c r="F90" s="172"/>
      <c r="G90" s="145"/>
      <c r="H90" s="173"/>
      <c r="I90" s="153"/>
      <c r="J90" s="153"/>
      <c r="K90" s="153"/>
      <c r="L90" s="153"/>
      <c r="M90" s="153"/>
      <c r="N90" s="49"/>
      <c r="O90" s="651"/>
      <c r="P90" s="660"/>
      <c r="Q90" s="661"/>
    </row>
    <row r="91" spans="2:17" s="48" customFormat="1">
      <c r="B91" s="1618"/>
      <c r="C91" s="145">
        <v>50000000</v>
      </c>
      <c r="D91" s="146" t="s">
        <v>33</v>
      </c>
      <c r="E91" s="145"/>
      <c r="F91" s="172"/>
      <c r="G91" s="145"/>
      <c r="H91" s="173"/>
      <c r="I91" s="153"/>
      <c r="J91" s="153"/>
      <c r="K91" s="153"/>
      <c r="L91" s="153"/>
      <c r="M91" s="153"/>
      <c r="N91" s="49"/>
      <c r="O91" s="651"/>
      <c r="P91" s="660"/>
      <c r="Q91" s="661"/>
    </row>
    <row r="92" spans="2:17" s="48" customFormat="1">
      <c r="B92" s="1618"/>
      <c r="C92" s="145">
        <v>140000000</v>
      </c>
      <c r="D92" s="146" t="s">
        <v>2</v>
      </c>
      <c r="E92" s="145"/>
      <c r="F92" s="172"/>
      <c r="G92" s="145"/>
      <c r="H92" s="173"/>
      <c r="I92" s="153"/>
      <c r="J92" s="153"/>
      <c r="K92" s="153"/>
      <c r="L92" s="153"/>
      <c r="M92" s="153"/>
      <c r="N92" s="49"/>
      <c r="O92" s="651"/>
      <c r="P92" s="660"/>
      <c r="Q92" s="661"/>
    </row>
    <row r="93" spans="2:17" s="48" customFormat="1">
      <c r="B93" s="1618"/>
      <c r="C93" s="145">
        <v>70000000</v>
      </c>
      <c r="D93" s="146" t="s">
        <v>1</v>
      </c>
      <c r="E93" s="145"/>
      <c r="F93" s="172"/>
      <c r="G93" s="145"/>
      <c r="H93" s="173"/>
      <c r="I93" s="153"/>
      <c r="J93" s="153"/>
      <c r="K93" s="153"/>
      <c r="L93" s="153"/>
      <c r="M93" s="153"/>
      <c r="N93" s="49"/>
      <c r="O93" s="651"/>
      <c r="P93" s="660"/>
      <c r="Q93" s="661"/>
    </row>
    <row r="94" spans="2:17" s="48" customFormat="1">
      <c r="B94" s="1618"/>
      <c r="C94" s="145">
        <v>200000000</v>
      </c>
      <c r="D94" s="146" t="s">
        <v>446</v>
      </c>
      <c r="E94" s="145"/>
      <c r="F94" s="172"/>
      <c r="G94" s="145"/>
      <c r="H94" s="173"/>
      <c r="I94" s="153"/>
      <c r="J94" s="153"/>
      <c r="K94" s="153"/>
      <c r="L94" s="153"/>
      <c r="M94" s="153"/>
      <c r="N94" s="49"/>
      <c r="O94" s="651"/>
      <c r="P94" s="660"/>
      <c r="Q94" s="661"/>
    </row>
    <row r="95" spans="2:17" s="48" customFormat="1">
      <c r="B95" s="1619"/>
      <c r="C95" s="145">
        <v>10000000</v>
      </c>
      <c r="D95" s="146" t="s">
        <v>3</v>
      </c>
      <c r="E95" s="145"/>
      <c r="F95" s="172"/>
      <c r="G95" s="145"/>
      <c r="H95" s="173"/>
      <c r="I95" s="153"/>
      <c r="J95" s="153"/>
      <c r="K95" s="153"/>
      <c r="L95" s="153"/>
      <c r="M95" s="153"/>
      <c r="N95" s="49"/>
      <c r="O95" s="651"/>
      <c r="P95" s="660"/>
      <c r="Q95" s="661"/>
    </row>
    <row r="96" spans="2:17" s="48" customFormat="1" ht="60">
      <c r="B96" s="1617" t="s">
        <v>460</v>
      </c>
      <c r="C96" s="145">
        <v>310000000</v>
      </c>
      <c r="D96" s="145" t="s">
        <v>222</v>
      </c>
      <c r="E96" s="146" t="s">
        <v>461</v>
      </c>
      <c r="F96" s="172"/>
      <c r="G96" s="145"/>
      <c r="H96" s="173"/>
      <c r="I96" s="153"/>
      <c r="J96" s="153"/>
      <c r="K96" s="153"/>
      <c r="L96" s="153"/>
      <c r="M96" s="153"/>
      <c r="N96" s="49" t="s">
        <v>37</v>
      </c>
      <c r="O96" s="651" t="s">
        <v>462</v>
      </c>
      <c r="P96" s="660"/>
      <c r="Q96" s="661"/>
    </row>
    <row r="97" spans="2:17" s="48" customFormat="1">
      <c r="B97" s="1618"/>
      <c r="C97" s="145">
        <v>250000000</v>
      </c>
      <c r="D97" s="146" t="s">
        <v>75</v>
      </c>
      <c r="E97" s="145"/>
      <c r="F97" s="172"/>
      <c r="G97" s="145"/>
      <c r="H97" s="173"/>
      <c r="I97" s="153"/>
      <c r="J97" s="153"/>
      <c r="K97" s="153"/>
      <c r="L97" s="153"/>
      <c r="M97" s="153"/>
      <c r="N97" s="49"/>
      <c r="O97" s="651"/>
      <c r="P97" s="660"/>
      <c r="Q97" s="661"/>
    </row>
    <row r="98" spans="2:17" s="48" customFormat="1">
      <c r="B98" s="1618"/>
      <c r="C98" s="145">
        <v>100000000</v>
      </c>
      <c r="D98" s="146" t="s">
        <v>33</v>
      </c>
      <c r="E98" s="145"/>
      <c r="F98" s="172"/>
      <c r="G98" s="145"/>
      <c r="H98" s="173"/>
      <c r="I98" s="153"/>
      <c r="J98" s="153"/>
      <c r="K98" s="153"/>
      <c r="L98" s="153"/>
      <c r="M98" s="153"/>
      <c r="N98" s="49"/>
      <c r="O98" s="651"/>
      <c r="P98" s="660"/>
      <c r="Q98" s="661"/>
    </row>
    <row r="99" spans="2:17" s="48" customFormat="1">
      <c r="B99" s="1618"/>
      <c r="C99" s="145">
        <v>150000000</v>
      </c>
      <c r="D99" s="146" t="s">
        <v>2</v>
      </c>
      <c r="E99" s="145"/>
      <c r="F99" s="172"/>
      <c r="G99" s="145"/>
      <c r="H99" s="173"/>
      <c r="I99" s="153"/>
      <c r="J99" s="153"/>
      <c r="K99" s="153"/>
      <c r="L99" s="153"/>
      <c r="M99" s="153"/>
      <c r="N99" s="49"/>
      <c r="O99" s="651"/>
      <c r="P99" s="660"/>
      <c r="Q99" s="661"/>
    </row>
    <row r="100" spans="2:17" s="48" customFormat="1">
      <c r="B100" s="1618"/>
      <c r="C100" s="145">
        <v>80000000</v>
      </c>
      <c r="D100" s="146" t="s">
        <v>1</v>
      </c>
      <c r="E100" s="145"/>
      <c r="F100" s="172"/>
      <c r="G100" s="145"/>
      <c r="H100" s="173"/>
      <c r="I100" s="153"/>
      <c r="J100" s="153"/>
      <c r="K100" s="153"/>
      <c r="L100" s="153"/>
      <c r="M100" s="153"/>
      <c r="N100" s="49"/>
      <c r="O100" s="651"/>
      <c r="P100" s="660"/>
      <c r="Q100" s="661"/>
    </row>
    <row r="101" spans="2:17" s="48" customFormat="1" ht="30">
      <c r="B101" s="1618"/>
      <c r="C101" s="145">
        <v>400000000</v>
      </c>
      <c r="D101" s="146" t="s">
        <v>34</v>
      </c>
      <c r="E101" s="145"/>
      <c r="F101" s="172"/>
      <c r="G101" s="145"/>
      <c r="H101" s="173"/>
      <c r="I101" s="153"/>
      <c r="J101" s="153"/>
      <c r="K101" s="153"/>
      <c r="L101" s="153"/>
      <c r="M101" s="153"/>
      <c r="N101" s="49"/>
      <c r="O101" s="651"/>
      <c r="P101" s="660"/>
      <c r="Q101" s="661"/>
    </row>
    <row r="102" spans="2:17" s="48" customFormat="1">
      <c r="B102" s="1619"/>
      <c r="C102" s="145">
        <v>30000000</v>
      </c>
      <c r="D102" s="146" t="s">
        <v>3</v>
      </c>
      <c r="E102" s="145"/>
      <c r="F102" s="172"/>
      <c r="G102" s="145"/>
      <c r="H102" s="173"/>
      <c r="I102" s="153"/>
      <c r="J102" s="153"/>
      <c r="K102" s="153"/>
      <c r="L102" s="153"/>
      <c r="M102" s="153"/>
      <c r="N102" s="49"/>
      <c r="O102" s="651"/>
      <c r="P102" s="660"/>
      <c r="Q102" s="661"/>
    </row>
    <row r="103" spans="2:17" s="48" customFormat="1" ht="24">
      <c r="B103" s="1617" t="s">
        <v>463</v>
      </c>
      <c r="C103" s="145">
        <v>190000000</v>
      </c>
      <c r="D103" s="146" t="s">
        <v>0</v>
      </c>
      <c r="E103" s="145"/>
      <c r="F103" s="172"/>
      <c r="G103" s="145"/>
      <c r="H103" s="173"/>
      <c r="I103" s="153"/>
      <c r="J103" s="153"/>
      <c r="K103" s="153"/>
      <c r="L103" s="153"/>
      <c r="M103" s="153"/>
      <c r="N103" s="49" t="s">
        <v>37</v>
      </c>
      <c r="O103" s="651" t="s">
        <v>464</v>
      </c>
      <c r="P103" s="660"/>
      <c r="Q103" s="661"/>
    </row>
    <row r="104" spans="2:17" s="48" customFormat="1">
      <c r="B104" s="1618"/>
      <c r="C104" s="145">
        <v>250000000</v>
      </c>
      <c r="D104" s="146" t="s">
        <v>75</v>
      </c>
      <c r="E104" s="145"/>
      <c r="F104" s="172"/>
      <c r="G104" s="145"/>
      <c r="H104" s="173"/>
      <c r="I104" s="153"/>
      <c r="J104" s="153"/>
      <c r="K104" s="153"/>
      <c r="L104" s="153"/>
      <c r="M104" s="153"/>
      <c r="N104" s="49"/>
      <c r="O104" s="651"/>
      <c r="P104" s="660"/>
      <c r="Q104" s="661"/>
    </row>
    <row r="105" spans="2:17" s="48" customFormat="1">
      <c r="B105" s="1618"/>
      <c r="C105" s="145">
        <v>100000000</v>
      </c>
      <c r="D105" s="146" t="s">
        <v>33</v>
      </c>
      <c r="E105" s="145"/>
      <c r="F105" s="172"/>
      <c r="G105" s="145"/>
      <c r="H105" s="173"/>
      <c r="I105" s="153"/>
      <c r="J105" s="153"/>
      <c r="K105" s="153"/>
      <c r="L105" s="153"/>
      <c r="M105" s="153"/>
      <c r="N105" s="49"/>
      <c r="O105" s="651"/>
      <c r="P105" s="660"/>
      <c r="Q105" s="661"/>
    </row>
    <row r="106" spans="2:17" s="48" customFormat="1">
      <c r="B106" s="1618"/>
      <c r="C106" s="145">
        <v>150000000</v>
      </c>
      <c r="D106" s="146" t="s">
        <v>2</v>
      </c>
      <c r="E106" s="145"/>
      <c r="F106" s="172"/>
      <c r="G106" s="145"/>
      <c r="H106" s="173"/>
      <c r="I106" s="153"/>
      <c r="J106" s="153"/>
      <c r="K106" s="153"/>
      <c r="L106" s="153"/>
      <c r="M106" s="153"/>
      <c r="N106" s="49"/>
      <c r="O106" s="651"/>
      <c r="P106" s="660"/>
      <c r="Q106" s="661"/>
    </row>
    <row r="107" spans="2:17" s="48" customFormat="1">
      <c r="B107" s="1618"/>
      <c r="C107" s="145">
        <v>115000000</v>
      </c>
      <c r="D107" s="146" t="s">
        <v>1</v>
      </c>
      <c r="E107" s="145"/>
      <c r="F107" s="172"/>
      <c r="G107" s="145"/>
      <c r="H107" s="173"/>
      <c r="I107" s="153"/>
      <c r="J107" s="153"/>
      <c r="K107" s="153"/>
      <c r="L107" s="153"/>
      <c r="M107" s="153"/>
      <c r="N107" s="49"/>
      <c r="O107" s="651"/>
      <c r="P107" s="660"/>
      <c r="Q107" s="661"/>
    </row>
    <row r="108" spans="2:17" s="48" customFormat="1">
      <c r="B108" s="1618"/>
      <c r="C108" s="145">
        <v>130000000</v>
      </c>
      <c r="D108" s="146" t="s">
        <v>446</v>
      </c>
      <c r="E108" s="145"/>
      <c r="F108" s="172"/>
      <c r="G108" s="145"/>
      <c r="H108" s="173"/>
      <c r="I108" s="153"/>
      <c r="J108" s="153"/>
      <c r="K108" s="153"/>
      <c r="L108" s="153"/>
      <c r="M108" s="153"/>
      <c r="N108" s="49"/>
      <c r="O108" s="651"/>
      <c r="P108" s="660"/>
      <c r="Q108" s="661"/>
    </row>
    <row r="109" spans="2:17" s="48" customFormat="1">
      <c r="B109" s="1619"/>
      <c r="C109" s="145">
        <v>50000000</v>
      </c>
      <c r="D109" s="146" t="s">
        <v>3</v>
      </c>
      <c r="E109" s="145"/>
      <c r="F109" s="172"/>
      <c r="G109" s="145"/>
      <c r="H109" s="173"/>
      <c r="I109" s="153"/>
      <c r="J109" s="153"/>
      <c r="K109" s="153"/>
      <c r="L109" s="153"/>
      <c r="M109" s="153"/>
      <c r="N109" s="49"/>
      <c r="O109" s="651"/>
      <c r="P109" s="660"/>
      <c r="Q109" s="661"/>
    </row>
    <row r="110" spans="2:17" s="48" customFormat="1" ht="24">
      <c r="B110" s="1617" t="s">
        <v>149</v>
      </c>
      <c r="C110" s="145">
        <v>1800000000</v>
      </c>
      <c r="D110" s="146" t="s">
        <v>0</v>
      </c>
      <c r="E110" s="145" t="s">
        <v>14</v>
      </c>
      <c r="F110" s="172"/>
      <c r="G110" s="145"/>
      <c r="H110" s="173"/>
      <c r="I110" s="153"/>
      <c r="J110" s="153"/>
      <c r="K110" s="153"/>
      <c r="L110" s="153"/>
      <c r="M110" s="153"/>
      <c r="N110" s="49" t="s">
        <v>14</v>
      </c>
      <c r="O110" s="651" t="s">
        <v>465</v>
      </c>
      <c r="P110" s="660"/>
      <c r="Q110" s="661"/>
    </row>
    <row r="111" spans="2:17" s="48" customFormat="1">
      <c r="B111" s="1618"/>
      <c r="C111" s="145">
        <v>340000000</v>
      </c>
      <c r="D111" s="146" t="s">
        <v>75</v>
      </c>
      <c r="E111" s="145"/>
      <c r="F111" s="172"/>
      <c r="G111" s="145"/>
      <c r="H111" s="173"/>
      <c r="I111" s="153"/>
      <c r="J111" s="153"/>
      <c r="K111" s="153"/>
      <c r="L111" s="153"/>
      <c r="M111" s="153"/>
      <c r="N111" s="49"/>
      <c r="O111" s="651"/>
      <c r="P111" s="660"/>
      <c r="Q111" s="661"/>
    </row>
    <row r="112" spans="2:17" s="48" customFormat="1">
      <c r="B112" s="1618"/>
      <c r="C112" s="145">
        <v>200000000</v>
      </c>
      <c r="D112" s="146" t="s">
        <v>33</v>
      </c>
      <c r="E112" s="145"/>
      <c r="F112" s="172"/>
      <c r="G112" s="145"/>
      <c r="H112" s="173"/>
      <c r="I112" s="153"/>
      <c r="J112" s="153"/>
      <c r="K112" s="153"/>
      <c r="L112" s="153"/>
      <c r="M112" s="153"/>
      <c r="N112" s="49"/>
      <c r="O112" s="651"/>
      <c r="P112" s="660"/>
      <c r="Q112" s="661"/>
    </row>
    <row r="113" spans="2:17" s="48" customFormat="1">
      <c r="B113" s="1618"/>
      <c r="C113" s="145">
        <v>235000000</v>
      </c>
      <c r="D113" s="146" t="s">
        <v>2</v>
      </c>
      <c r="E113" s="145"/>
      <c r="F113" s="172"/>
      <c r="G113" s="145"/>
      <c r="H113" s="173"/>
      <c r="I113" s="153"/>
      <c r="J113" s="153"/>
      <c r="K113" s="153"/>
      <c r="L113" s="153"/>
      <c r="M113" s="153"/>
      <c r="N113" s="49"/>
      <c r="O113" s="651"/>
      <c r="P113" s="660"/>
      <c r="Q113" s="661"/>
    </row>
    <row r="114" spans="2:17" s="48" customFormat="1">
      <c r="B114" s="1618"/>
      <c r="C114" s="145">
        <v>220000000</v>
      </c>
      <c r="D114" s="146" t="s">
        <v>1</v>
      </c>
      <c r="E114" s="145"/>
      <c r="F114" s="172"/>
      <c r="G114" s="145"/>
      <c r="H114" s="173"/>
      <c r="I114" s="153"/>
      <c r="J114" s="153"/>
      <c r="K114" s="153"/>
      <c r="L114" s="153"/>
      <c r="M114" s="153"/>
      <c r="N114" s="49"/>
      <c r="O114" s="651"/>
      <c r="P114" s="660"/>
      <c r="Q114" s="661"/>
    </row>
    <row r="115" spans="2:17" s="48" customFormat="1" ht="30">
      <c r="B115" s="1618"/>
      <c r="C115" s="145">
        <v>550000000</v>
      </c>
      <c r="D115" s="146" t="s">
        <v>34</v>
      </c>
      <c r="E115" s="145"/>
      <c r="F115" s="172"/>
      <c r="G115" s="145"/>
      <c r="H115" s="173"/>
      <c r="I115" s="153"/>
      <c r="J115" s="153"/>
      <c r="K115" s="153"/>
      <c r="L115" s="153"/>
      <c r="M115" s="153"/>
      <c r="N115" s="49"/>
      <c r="O115" s="651"/>
      <c r="P115" s="660"/>
      <c r="Q115" s="661"/>
    </row>
    <row r="116" spans="2:17" s="48" customFormat="1">
      <c r="B116" s="1619"/>
      <c r="C116" s="145">
        <v>250000000</v>
      </c>
      <c r="D116" s="146" t="s">
        <v>3</v>
      </c>
      <c r="E116" s="145"/>
      <c r="F116" s="172"/>
      <c r="G116" s="145"/>
      <c r="H116" s="173"/>
      <c r="I116" s="153"/>
      <c r="J116" s="153"/>
      <c r="K116" s="153"/>
      <c r="L116" s="153"/>
      <c r="M116" s="153"/>
      <c r="N116" s="49"/>
      <c r="O116" s="651"/>
      <c r="P116" s="660"/>
      <c r="Q116" s="661"/>
    </row>
    <row r="117" spans="2:17" s="48" customFormat="1" ht="24">
      <c r="B117" s="1617" t="s">
        <v>150</v>
      </c>
      <c r="C117" s="145">
        <v>30000000</v>
      </c>
      <c r="D117" s="146" t="s">
        <v>0</v>
      </c>
      <c r="E117" s="145"/>
      <c r="F117" s="172"/>
      <c r="G117" s="145"/>
      <c r="H117" s="173"/>
      <c r="I117" s="153"/>
      <c r="J117" s="153"/>
      <c r="K117" s="153"/>
      <c r="L117" s="153"/>
      <c r="M117" s="153"/>
      <c r="N117" s="49" t="s">
        <v>14</v>
      </c>
      <c r="O117" s="651" t="s">
        <v>466</v>
      </c>
      <c r="P117" s="660"/>
      <c r="Q117" s="661"/>
    </row>
    <row r="118" spans="2:17" s="48" customFormat="1">
      <c r="B118" s="1618"/>
      <c r="C118" s="145">
        <v>80000000</v>
      </c>
      <c r="D118" s="146" t="s">
        <v>75</v>
      </c>
      <c r="E118" s="145"/>
      <c r="F118" s="172"/>
      <c r="G118" s="145"/>
      <c r="H118" s="173"/>
      <c r="I118" s="153"/>
      <c r="J118" s="153"/>
      <c r="K118" s="153"/>
      <c r="L118" s="153"/>
      <c r="M118" s="153"/>
      <c r="N118" s="49"/>
      <c r="O118" s="651"/>
      <c r="P118" s="660"/>
      <c r="Q118" s="661"/>
    </row>
    <row r="119" spans="2:17" s="48" customFormat="1">
      <c r="B119" s="1618"/>
      <c r="C119" s="145">
        <v>30000000</v>
      </c>
      <c r="D119" s="146" t="s">
        <v>33</v>
      </c>
      <c r="E119" s="145"/>
      <c r="F119" s="172"/>
      <c r="G119" s="145"/>
      <c r="H119" s="173"/>
      <c r="I119" s="153"/>
      <c r="J119" s="153"/>
      <c r="K119" s="153"/>
      <c r="L119" s="153"/>
      <c r="M119" s="153"/>
      <c r="N119" s="49"/>
      <c r="O119" s="651"/>
      <c r="P119" s="660"/>
      <c r="Q119" s="661"/>
    </row>
    <row r="120" spans="2:17" s="48" customFormat="1">
      <c r="B120" s="1618"/>
      <c r="C120" s="145">
        <v>70000000</v>
      </c>
      <c r="D120" s="146" t="s">
        <v>2</v>
      </c>
      <c r="E120" s="145"/>
      <c r="F120" s="172"/>
      <c r="G120" s="145"/>
      <c r="H120" s="173"/>
      <c r="I120" s="153"/>
      <c r="J120" s="153"/>
      <c r="K120" s="153"/>
      <c r="L120" s="153"/>
      <c r="M120" s="153"/>
      <c r="N120" s="49"/>
      <c r="O120" s="651"/>
      <c r="P120" s="660"/>
      <c r="Q120" s="661"/>
    </row>
    <row r="121" spans="2:17" s="48" customFormat="1">
      <c r="B121" s="1618"/>
      <c r="C121" s="145">
        <v>260000000</v>
      </c>
      <c r="D121" s="146" t="s">
        <v>1</v>
      </c>
      <c r="E121" s="145"/>
      <c r="F121" s="172"/>
      <c r="G121" s="145"/>
      <c r="H121" s="173"/>
      <c r="I121" s="153"/>
      <c r="J121" s="153"/>
      <c r="K121" s="153"/>
      <c r="L121" s="153"/>
      <c r="M121" s="153"/>
      <c r="N121" s="49"/>
      <c r="O121" s="651"/>
      <c r="P121" s="660"/>
      <c r="Q121" s="661"/>
    </row>
    <row r="122" spans="2:17" s="48" customFormat="1" ht="30">
      <c r="B122" s="1618"/>
      <c r="C122" s="145">
        <v>60000000</v>
      </c>
      <c r="D122" s="146" t="s">
        <v>34</v>
      </c>
      <c r="E122" s="145"/>
      <c r="F122" s="172"/>
      <c r="G122" s="145"/>
      <c r="H122" s="173"/>
      <c r="I122" s="153"/>
      <c r="J122" s="153"/>
      <c r="K122" s="153"/>
      <c r="L122" s="153"/>
      <c r="M122" s="153"/>
      <c r="N122" s="49"/>
      <c r="O122" s="651"/>
      <c r="P122" s="660"/>
      <c r="Q122" s="661"/>
    </row>
    <row r="123" spans="2:17" s="48" customFormat="1">
      <c r="B123" s="1619"/>
      <c r="C123" s="145">
        <v>40000000</v>
      </c>
      <c r="D123" s="146" t="s">
        <v>3</v>
      </c>
      <c r="E123" s="145"/>
      <c r="F123" s="172"/>
      <c r="G123" s="145"/>
      <c r="H123" s="173"/>
      <c r="I123" s="153"/>
      <c r="J123" s="153"/>
      <c r="K123" s="153"/>
      <c r="L123" s="153"/>
      <c r="M123" s="153"/>
      <c r="N123" s="49"/>
      <c r="O123" s="651"/>
      <c r="P123" s="660"/>
      <c r="Q123" s="661"/>
    </row>
    <row r="124" spans="2:17" s="48" customFormat="1" ht="24">
      <c r="B124" s="1617" t="s">
        <v>151</v>
      </c>
      <c r="C124" s="145">
        <v>30000000</v>
      </c>
      <c r="D124" s="150" t="s">
        <v>0</v>
      </c>
      <c r="E124" s="145"/>
      <c r="F124" s="172"/>
      <c r="G124" s="145"/>
      <c r="H124" s="173"/>
      <c r="I124" s="153"/>
      <c r="J124" s="153"/>
      <c r="K124" s="153"/>
      <c r="L124" s="153"/>
      <c r="M124" s="153"/>
      <c r="N124" s="49" t="s">
        <v>14</v>
      </c>
      <c r="O124" s="651" t="s">
        <v>467</v>
      </c>
      <c r="P124" s="660"/>
      <c r="Q124" s="661"/>
    </row>
    <row r="125" spans="2:17" s="48" customFormat="1" ht="24" customHeight="1">
      <c r="B125" s="1618"/>
      <c r="C125" s="145">
        <v>600000000</v>
      </c>
      <c r="D125" s="150" t="s">
        <v>468</v>
      </c>
      <c r="E125" s="145"/>
      <c r="F125" s="172"/>
      <c r="G125" s="145"/>
      <c r="H125" s="173"/>
      <c r="I125" s="153"/>
      <c r="J125" s="153"/>
      <c r="K125" s="153"/>
      <c r="L125" s="153"/>
      <c r="M125" s="153"/>
      <c r="N125" s="49" t="s">
        <v>14</v>
      </c>
      <c r="O125" s="1620" t="s">
        <v>469</v>
      </c>
      <c r="P125" s="660"/>
      <c r="Q125" s="660"/>
    </row>
    <row r="126" spans="2:17" s="48" customFormat="1">
      <c r="B126" s="1618"/>
      <c r="C126" s="145">
        <v>360000000</v>
      </c>
      <c r="D126" s="150" t="s">
        <v>470</v>
      </c>
      <c r="E126" s="145"/>
      <c r="F126" s="172"/>
      <c r="G126" s="145"/>
      <c r="H126" s="173"/>
      <c r="I126" s="153"/>
      <c r="J126" s="153"/>
      <c r="K126" s="153"/>
      <c r="L126" s="153"/>
      <c r="M126" s="153"/>
      <c r="N126" s="49" t="s">
        <v>14</v>
      </c>
      <c r="O126" s="1622"/>
      <c r="P126" s="660"/>
      <c r="Q126" s="660"/>
    </row>
    <row r="127" spans="2:17" s="48" customFormat="1" ht="213" customHeight="1">
      <c r="B127" s="1618"/>
      <c r="C127" s="145">
        <v>210000000</v>
      </c>
      <c r="D127" s="150" t="s">
        <v>471</v>
      </c>
      <c r="E127" s="145"/>
      <c r="F127" s="172"/>
      <c r="G127" s="145"/>
      <c r="H127" s="173"/>
      <c r="I127" s="153"/>
      <c r="J127" s="153"/>
      <c r="K127" s="153"/>
      <c r="L127" s="153"/>
      <c r="M127" s="153"/>
      <c r="N127" s="49" t="s">
        <v>37</v>
      </c>
      <c r="O127" s="1621"/>
      <c r="P127" s="660"/>
      <c r="Q127" s="660"/>
    </row>
    <row r="128" spans="2:17" s="48" customFormat="1">
      <c r="B128" s="1618"/>
      <c r="C128" s="145">
        <v>400000000</v>
      </c>
      <c r="D128" s="146" t="s">
        <v>75</v>
      </c>
      <c r="E128" s="145"/>
      <c r="F128" s="172"/>
      <c r="G128" s="145"/>
      <c r="H128" s="173"/>
      <c r="I128" s="153"/>
      <c r="J128" s="153"/>
      <c r="K128" s="153"/>
      <c r="L128" s="153"/>
      <c r="M128" s="153"/>
      <c r="N128" s="49"/>
      <c r="O128" s="651"/>
      <c r="P128" s="660"/>
      <c r="Q128" s="661"/>
    </row>
    <row r="129" spans="2:17" s="48" customFormat="1">
      <c r="B129" s="1618"/>
      <c r="C129" s="145">
        <v>110000000</v>
      </c>
      <c r="D129" s="146" t="s">
        <v>33</v>
      </c>
      <c r="E129" s="145"/>
      <c r="F129" s="172"/>
      <c r="G129" s="145"/>
      <c r="H129" s="173"/>
      <c r="I129" s="153"/>
      <c r="J129" s="153"/>
      <c r="K129" s="153"/>
      <c r="L129" s="153"/>
      <c r="M129" s="153"/>
      <c r="N129" s="49"/>
      <c r="O129" s="651"/>
      <c r="P129" s="660"/>
      <c r="Q129" s="661"/>
    </row>
    <row r="130" spans="2:17" s="48" customFormat="1">
      <c r="B130" s="1618"/>
      <c r="C130" s="145">
        <v>450000000</v>
      </c>
      <c r="D130" s="146" t="s">
        <v>2</v>
      </c>
      <c r="E130" s="145"/>
      <c r="F130" s="172"/>
      <c r="G130" s="145"/>
      <c r="H130" s="173"/>
      <c r="I130" s="153"/>
      <c r="J130" s="153"/>
      <c r="K130" s="153"/>
      <c r="L130" s="153"/>
      <c r="M130" s="153"/>
      <c r="N130" s="49"/>
      <c r="O130" s="651"/>
      <c r="P130" s="660"/>
      <c r="Q130" s="661"/>
    </row>
    <row r="131" spans="2:17" s="48" customFormat="1">
      <c r="B131" s="1618"/>
      <c r="C131" s="145">
        <v>170000000</v>
      </c>
      <c r="D131" s="146" t="s">
        <v>1</v>
      </c>
      <c r="E131" s="145"/>
      <c r="F131" s="172"/>
      <c r="G131" s="145"/>
      <c r="H131" s="173"/>
      <c r="I131" s="153"/>
      <c r="J131" s="153"/>
      <c r="K131" s="153"/>
      <c r="L131" s="153"/>
      <c r="M131" s="153"/>
      <c r="N131" s="49"/>
      <c r="O131" s="651"/>
      <c r="P131" s="660"/>
      <c r="Q131" s="661"/>
    </row>
    <row r="132" spans="2:17" s="48" customFormat="1" ht="30">
      <c r="B132" s="1618"/>
      <c r="C132" s="145">
        <v>90000000</v>
      </c>
      <c r="D132" s="146" t="s">
        <v>34</v>
      </c>
      <c r="E132" s="145"/>
      <c r="F132" s="172"/>
      <c r="G132" s="145"/>
      <c r="H132" s="173"/>
      <c r="I132" s="153"/>
      <c r="J132" s="153"/>
      <c r="K132" s="153"/>
      <c r="L132" s="153"/>
      <c r="M132" s="153"/>
      <c r="N132" s="49"/>
      <c r="O132" s="651"/>
      <c r="P132" s="660"/>
      <c r="Q132" s="661"/>
    </row>
    <row r="133" spans="2:17" s="48" customFormat="1">
      <c r="B133" s="1619"/>
      <c r="C133" s="145">
        <v>320000000</v>
      </c>
      <c r="D133" s="146" t="s">
        <v>3</v>
      </c>
      <c r="E133" s="145"/>
      <c r="F133" s="172"/>
      <c r="G133" s="145"/>
      <c r="H133" s="173"/>
      <c r="I133" s="153"/>
      <c r="J133" s="153"/>
      <c r="K133" s="153"/>
      <c r="L133" s="153"/>
      <c r="M133" s="153"/>
      <c r="N133" s="49"/>
      <c r="O133" s="651"/>
      <c r="P133" s="660"/>
      <c r="Q133" s="661"/>
    </row>
    <row r="134" spans="2:17" s="48" customFormat="1">
      <c r="B134" s="1617" t="s">
        <v>152</v>
      </c>
      <c r="C134" s="145">
        <v>80000000</v>
      </c>
      <c r="D134" s="146" t="s">
        <v>75</v>
      </c>
      <c r="E134" s="145"/>
      <c r="F134" s="172"/>
      <c r="G134" s="145"/>
      <c r="H134" s="173"/>
      <c r="I134" s="153"/>
      <c r="J134" s="153"/>
      <c r="K134" s="153"/>
      <c r="L134" s="153"/>
      <c r="M134" s="153"/>
      <c r="N134" s="49"/>
      <c r="O134" s="651"/>
      <c r="P134" s="660"/>
      <c r="Q134" s="661"/>
    </row>
    <row r="135" spans="2:17" s="48" customFormat="1">
      <c r="B135" s="1618"/>
      <c r="C135" s="145">
        <v>10000000</v>
      </c>
      <c r="D135" s="146" t="s">
        <v>33</v>
      </c>
      <c r="E135" s="145"/>
      <c r="F135" s="172"/>
      <c r="G135" s="145"/>
      <c r="H135" s="173"/>
      <c r="I135" s="153"/>
      <c r="J135" s="153"/>
      <c r="K135" s="153"/>
      <c r="L135" s="153"/>
      <c r="M135" s="153"/>
      <c r="N135" s="49"/>
      <c r="O135" s="651"/>
      <c r="P135" s="660"/>
      <c r="Q135" s="661"/>
    </row>
    <row r="136" spans="2:17" s="48" customFormat="1">
      <c r="B136" s="1618"/>
      <c r="C136" s="145">
        <v>145000000</v>
      </c>
      <c r="D136" s="146" t="s">
        <v>1</v>
      </c>
      <c r="E136" s="145"/>
      <c r="F136" s="172"/>
      <c r="G136" s="145"/>
      <c r="H136" s="173"/>
      <c r="I136" s="153"/>
      <c r="J136" s="153"/>
      <c r="K136" s="153"/>
      <c r="L136" s="153"/>
      <c r="M136" s="153"/>
      <c r="N136" s="49"/>
      <c r="O136" s="651"/>
      <c r="P136" s="660"/>
      <c r="Q136" s="661"/>
    </row>
    <row r="137" spans="2:17" s="48" customFormat="1" ht="30">
      <c r="B137" s="1618"/>
      <c r="C137" s="145">
        <v>22000000</v>
      </c>
      <c r="D137" s="146" t="s">
        <v>34</v>
      </c>
      <c r="E137" s="145"/>
      <c r="F137" s="172"/>
      <c r="G137" s="145"/>
      <c r="H137" s="173"/>
      <c r="I137" s="153"/>
      <c r="J137" s="153"/>
      <c r="K137" s="153"/>
      <c r="L137" s="153"/>
      <c r="M137" s="153"/>
      <c r="N137" s="49"/>
      <c r="O137" s="651"/>
      <c r="P137" s="660"/>
      <c r="Q137" s="661"/>
    </row>
    <row r="138" spans="2:17" s="48" customFormat="1">
      <c r="B138" s="1619"/>
      <c r="C138" s="145">
        <v>50000000</v>
      </c>
      <c r="D138" s="146" t="s">
        <v>3</v>
      </c>
      <c r="E138" s="145"/>
      <c r="F138" s="172"/>
      <c r="G138" s="145"/>
      <c r="H138" s="173"/>
      <c r="I138" s="153"/>
      <c r="J138" s="153"/>
      <c r="K138" s="153"/>
      <c r="L138" s="153"/>
      <c r="M138" s="153"/>
      <c r="N138" s="49"/>
      <c r="O138" s="651"/>
      <c r="P138" s="660"/>
      <c r="Q138" s="661"/>
    </row>
    <row r="139" spans="2:17" s="48" customFormat="1" ht="60">
      <c r="B139" s="167" t="s">
        <v>166</v>
      </c>
      <c r="C139" s="145">
        <v>20000000</v>
      </c>
      <c r="D139" s="146" t="s">
        <v>2</v>
      </c>
      <c r="E139" s="145"/>
      <c r="F139" s="172"/>
      <c r="G139" s="145"/>
      <c r="H139" s="173"/>
      <c r="I139" s="153"/>
      <c r="J139" s="153"/>
      <c r="K139" s="153"/>
      <c r="L139" s="153"/>
      <c r="M139" s="153"/>
      <c r="N139" s="49"/>
      <c r="O139" s="651"/>
      <c r="P139" s="660"/>
      <c r="Q139" s="661"/>
    </row>
    <row r="140" spans="2:17" s="48" customFormat="1">
      <c r="B140" s="1617" t="s">
        <v>153</v>
      </c>
      <c r="C140" s="145">
        <v>440000000</v>
      </c>
      <c r="D140" s="146" t="s">
        <v>75</v>
      </c>
      <c r="E140" s="145"/>
      <c r="F140" s="172"/>
      <c r="G140" s="145"/>
      <c r="H140" s="173"/>
      <c r="I140" s="153"/>
      <c r="J140" s="153"/>
      <c r="K140" s="153"/>
      <c r="L140" s="153"/>
      <c r="M140" s="153"/>
      <c r="N140" s="49"/>
      <c r="O140" s="651"/>
      <c r="P140" s="660"/>
      <c r="Q140" s="661"/>
    </row>
    <row r="141" spans="2:17" s="48" customFormat="1">
      <c r="B141" s="1618"/>
      <c r="C141" s="145">
        <v>200000000</v>
      </c>
      <c r="D141" s="146" t="s">
        <v>33</v>
      </c>
      <c r="E141" s="145"/>
      <c r="F141" s="172"/>
      <c r="G141" s="145"/>
      <c r="H141" s="173"/>
      <c r="I141" s="153"/>
      <c r="J141" s="153"/>
      <c r="K141" s="153"/>
      <c r="L141" s="153"/>
      <c r="M141" s="153"/>
      <c r="N141" s="49"/>
      <c r="O141" s="651"/>
      <c r="P141" s="660"/>
      <c r="Q141" s="661"/>
    </row>
    <row r="142" spans="2:17" s="48" customFormat="1">
      <c r="B142" s="1618"/>
      <c r="C142" s="145">
        <v>400000000</v>
      </c>
      <c r="D142" s="146" t="s">
        <v>2</v>
      </c>
      <c r="E142" s="145"/>
      <c r="F142" s="172"/>
      <c r="G142" s="145"/>
      <c r="H142" s="173"/>
      <c r="I142" s="153"/>
      <c r="J142" s="153"/>
      <c r="K142" s="153"/>
      <c r="L142" s="153"/>
      <c r="M142" s="153"/>
      <c r="N142" s="49"/>
      <c r="O142" s="651"/>
      <c r="P142" s="660"/>
      <c r="Q142" s="661"/>
    </row>
    <row r="143" spans="2:17" s="48" customFormat="1">
      <c r="B143" s="1618"/>
      <c r="C143" s="145">
        <v>215000000</v>
      </c>
      <c r="D143" s="146" t="s">
        <v>1</v>
      </c>
      <c r="E143" s="145"/>
      <c r="F143" s="172"/>
      <c r="G143" s="145"/>
      <c r="H143" s="173"/>
      <c r="I143" s="153"/>
      <c r="J143" s="153"/>
      <c r="K143" s="153"/>
      <c r="L143" s="153"/>
      <c r="M143" s="153"/>
      <c r="N143" s="49"/>
      <c r="O143" s="651"/>
      <c r="P143" s="660"/>
      <c r="Q143" s="661"/>
    </row>
    <row r="144" spans="2:17" s="48" customFormat="1">
      <c r="B144" s="1619"/>
      <c r="C144" s="145">
        <v>80000000</v>
      </c>
      <c r="D144" s="146" t="s">
        <v>3</v>
      </c>
      <c r="E144" s="145"/>
      <c r="F144" s="172"/>
      <c r="G144" s="145"/>
      <c r="H144" s="173"/>
      <c r="I144" s="153"/>
      <c r="J144" s="153"/>
      <c r="K144" s="153"/>
      <c r="L144" s="153"/>
      <c r="M144" s="153"/>
      <c r="N144" s="49"/>
      <c r="O144" s="651"/>
      <c r="P144" s="660"/>
      <c r="Q144" s="661"/>
    </row>
    <row r="145" spans="2:17" s="48" customFormat="1">
      <c r="B145" s="1617" t="s">
        <v>184</v>
      </c>
      <c r="C145" s="145">
        <v>450000000</v>
      </c>
      <c r="D145" s="174" t="s">
        <v>472</v>
      </c>
      <c r="E145" s="145" t="s">
        <v>14</v>
      </c>
      <c r="F145" s="172"/>
      <c r="G145" s="145"/>
      <c r="H145" s="173"/>
      <c r="I145" s="153"/>
      <c r="J145" s="153"/>
      <c r="K145" s="153"/>
      <c r="L145" s="153"/>
      <c r="M145" s="153"/>
      <c r="N145" s="49"/>
      <c r="O145" s="651"/>
      <c r="P145" s="660"/>
      <c r="Q145" s="661"/>
    </row>
    <row r="146" spans="2:17" s="48" customFormat="1">
      <c r="B146" s="1618"/>
      <c r="C146" s="145">
        <v>10000000</v>
      </c>
      <c r="D146" s="146" t="s">
        <v>75</v>
      </c>
      <c r="E146" s="145"/>
      <c r="F146" s="172"/>
      <c r="G146" s="145"/>
      <c r="H146" s="173"/>
      <c r="I146" s="153"/>
      <c r="J146" s="153"/>
      <c r="K146" s="153"/>
      <c r="L146" s="153"/>
      <c r="M146" s="153"/>
      <c r="N146" s="49"/>
      <c r="O146" s="651"/>
      <c r="P146" s="660"/>
      <c r="Q146" s="661"/>
    </row>
    <row r="147" spans="2:17" s="48" customFormat="1">
      <c r="B147" s="1618"/>
      <c r="C147" s="145">
        <v>30000000</v>
      </c>
      <c r="D147" s="146" t="s">
        <v>33</v>
      </c>
      <c r="E147" s="145"/>
      <c r="F147" s="172"/>
      <c r="G147" s="145"/>
      <c r="H147" s="173"/>
      <c r="I147" s="153"/>
      <c r="J147" s="153"/>
      <c r="K147" s="153"/>
      <c r="L147" s="153"/>
      <c r="M147" s="153"/>
      <c r="N147" s="49"/>
      <c r="O147" s="651"/>
      <c r="P147" s="660"/>
      <c r="Q147" s="661"/>
    </row>
    <row r="148" spans="2:17" s="48" customFormat="1">
      <c r="B148" s="1618"/>
      <c r="C148" s="145">
        <v>10000000</v>
      </c>
      <c r="D148" s="146" t="s">
        <v>2</v>
      </c>
      <c r="E148" s="145"/>
      <c r="F148" s="172"/>
      <c r="G148" s="145"/>
      <c r="H148" s="173"/>
      <c r="I148" s="153"/>
      <c r="J148" s="153"/>
      <c r="K148" s="153"/>
      <c r="L148" s="153"/>
      <c r="M148" s="153"/>
      <c r="N148" s="49"/>
      <c r="O148" s="651"/>
      <c r="P148" s="660"/>
      <c r="Q148" s="661"/>
    </row>
    <row r="149" spans="2:17" s="48" customFormat="1">
      <c r="B149" s="1618"/>
      <c r="C149" s="145">
        <v>20000000</v>
      </c>
      <c r="D149" s="146" t="s">
        <v>1</v>
      </c>
      <c r="E149" s="145"/>
      <c r="F149" s="172"/>
      <c r="G149" s="145"/>
      <c r="H149" s="173"/>
      <c r="I149" s="153"/>
      <c r="J149" s="153"/>
      <c r="K149" s="153"/>
      <c r="L149" s="153"/>
      <c r="M149" s="153"/>
      <c r="N149" s="49"/>
      <c r="O149" s="651"/>
      <c r="P149" s="660"/>
      <c r="Q149" s="661"/>
    </row>
    <row r="150" spans="2:17" s="48" customFormat="1">
      <c r="B150" s="1619"/>
      <c r="C150" s="145">
        <v>120000000</v>
      </c>
      <c r="D150" s="146" t="s">
        <v>446</v>
      </c>
      <c r="E150" s="145"/>
      <c r="F150" s="172"/>
      <c r="G150" s="145"/>
      <c r="H150" s="173"/>
      <c r="I150" s="153"/>
      <c r="J150" s="153"/>
      <c r="K150" s="153"/>
      <c r="L150" s="153"/>
      <c r="M150" s="153"/>
      <c r="N150" s="49"/>
      <c r="O150" s="651"/>
      <c r="P150" s="660"/>
      <c r="Q150" s="661"/>
    </row>
    <row r="151" spans="2:17" s="48" customFormat="1" ht="66.75">
      <c r="B151" s="140" t="s">
        <v>473</v>
      </c>
      <c r="C151" s="141">
        <f>SUM(C152:C165)</f>
        <v>22200000000</v>
      </c>
      <c r="D151" s="175"/>
      <c r="E151" s="141" t="s">
        <v>14</v>
      </c>
      <c r="F151" s="142"/>
      <c r="G151" s="141">
        <v>21000</v>
      </c>
      <c r="H151" s="143" t="s">
        <v>5</v>
      </c>
      <c r="I151" s="176"/>
      <c r="J151" s="176"/>
      <c r="K151" s="176"/>
      <c r="L151" s="176"/>
      <c r="M151" s="144"/>
      <c r="N151" s="175"/>
      <c r="O151" s="655"/>
      <c r="P151" s="667"/>
      <c r="Q151" s="668"/>
    </row>
    <row r="152" spans="2:17" s="48" customFormat="1" ht="53.25" customHeight="1">
      <c r="B152" s="1617" t="s">
        <v>474</v>
      </c>
      <c r="C152" s="145">
        <v>5000000000</v>
      </c>
      <c r="D152" s="177" t="s">
        <v>475</v>
      </c>
      <c r="E152" s="145" t="s">
        <v>14</v>
      </c>
      <c r="F152" s="172"/>
      <c r="G152" s="145"/>
      <c r="H152" s="173"/>
      <c r="I152" s="153"/>
      <c r="J152" s="153"/>
      <c r="K152" s="153"/>
      <c r="L152" s="153"/>
      <c r="M152" s="153"/>
      <c r="N152" s="49" t="s">
        <v>14</v>
      </c>
      <c r="O152" s="656" t="s">
        <v>476</v>
      </c>
      <c r="P152" s="660"/>
      <c r="Q152" s="669"/>
    </row>
    <row r="153" spans="2:17" s="48" customFormat="1" ht="57.75" customHeight="1">
      <c r="B153" s="1618"/>
      <c r="C153" s="145">
        <v>3100000000</v>
      </c>
      <c r="D153" s="177" t="s">
        <v>477</v>
      </c>
      <c r="E153" s="145" t="s">
        <v>14</v>
      </c>
      <c r="F153" s="172"/>
      <c r="G153" s="145"/>
      <c r="H153" s="173"/>
      <c r="I153" s="153"/>
      <c r="J153" s="153"/>
      <c r="K153" s="153"/>
      <c r="L153" s="153"/>
      <c r="M153" s="153"/>
      <c r="N153" s="49" t="s">
        <v>14</v>
      </c>
      <c r="O153" s="657" t="s">
        <v>478</v>
      </c>
      <c r="P153" s="660"/>
      <c r="Q153" s="669"/>
    </row>
    <row r="154" spans="2:17" s="48" customFormat="1" ht="39" customHeight="1">
      <c r="B154" s="1617" t="s">
        <v>479</v>
      </c>
      <c r="C154" s="145">
        <v>700000000</v>
      </c>
      <c r="D154" s="146" t="s">
        <v>0</v>
      </c>
      <c r="E154" s="145" t="s">
        <v>14</v>
      </c>
      <c r="F154" s="172"/>
      <c r="G154" s="145"/>
      <c r="H154" s="173"/>
      <c r="I154" s="153"/>
      <c r="J154" s="153"/>
      <c r="K154" s="153"/>
      <c r="L154" s="153"/>
      <c r="M154" s="153"/>
      <c r="N154" s="49"/>
      <c r="O154" s="1631" t="s">
        <v>480</v>
      </c>
      <c r="P154" s="660"/>
      <c r="Q154" s="660"/>
    </row>
    <row r="155" spans="2:17" s="48" customFormat="1">
      <c r="B155" s="1618"/>
      <c r="C155" s="145">
        <v>2150000000</v>
      </c>
      <c r="D155" s="146" t="s">
        <v>481</v>
      </c>
      <c r="E155" s="145" t="s">
        <v>14</v>
      </c>
      <c r="F155" s="172"/>
      <c r="G155" s="145"/>
      <c r="H155" s="173"/>
      <c r="I155" s="153"/>
      <c r="J155" s="153"/>
      <c r="K155" s="153"/>
      <c r="L155" s="153"/>
      <c r="M155" s="153"/>
      <c r="N155" s="178">
        <f>SUM(C155:C159)+C152+C154</f>
        <v>15200000000</v>
      </c>
      <c r="O155" s="1632"/>
      <c r="P155" s="670"/>
      <c r="Q155" s="670"/>
    </row>
    <row r="156" spans="2:17" s="48" customFormat="1">
      <c r="B156" s="1618"/>
      <c r="C156" s="145">
        <v>450000000</v>
      </c>
      <c r="D156" s="146" t="s">
        <v>482</v>
      </c>
      <c r="E156" s="145" t="s">
        <v>14</v>
      </c>
      <c r="F156" s="172"/>
      <c r="G156" s="145"/>
      <c r="H156" s="173"/>
      <c r="I156" s="153"/>
      <c r="J156" s="153"/>
      <c r="K156" s="153"/>
      <c r="L156" s="153"/>
      <c r="M156" s="153"/>
      <c r="N156" s="49"/>
      <c r="O156" s="1632"/>
      <c r="P156" s="660"/>
      <c r="Q156" s="660"/>
    </row>
    <row r="157" spans="2:17" s="48" customFormat="1">
      <c r="B157" s="1618"/>
      <c r="C157" s="145">
        <v>2100000000</v>
      </c>
      <c r="D157" s="146" t="s">
        <v>483</v>
      </c>
      <c r="E157" s="145" t="s">
        <v>14</v>
      </c>
      <c r="F157" s="172"/>
      <c r="G157" s="145"/>
      <c r="H157" s="173"/>
      <c r="I157" s="153"/>
      <c r="J157" s="153"/>
      <c r="K157" s="153"/>
      <c r="L157" s="153"/>
      <c r="M157" s="153"/>
      <c r="N157" s="49"/>
      <c r="O157" s="1632"/>
      <c r="P157" s="660"/>
      <c r="Q157" s="660"/>
    </row>
    <row r="158" spans="2:17" s="48" customFormat="1">
      <c r="B158" s="1618"/>
      <c r="C158" s="145">
        <v>2300000000</v>
      </c>
      <c r="D158" s="146" t="s">
        <v>484</v>
      </c>
      <c r="E158" s="145" t="s">
        <v>14</v>
      </c>
      <c r="F158" s="172"/>
      <c r="G158" s="145"/>
      <c r="H158" s="173"/>
      <c r="I158" s="153"/>
      <c r="J158" s="153"/>
      <c r="K158" s="153"/>
      <c r="L158" s="153"/>
      <c r="M158" s="153"/>
      <c r="N158" s="49"/>
      <c r="O158" s="1632"/>
      <c r="P158" s="660"/>
      <c r="Q158" s="660"/>
    </row>
    <row r="159" spans="2:17" s="48" customFormat="1" ht="66" customHeight="1">
      <c r="B159" s="1619"/>
      <c r="C159" s="145">
        <v>2500000000</v>
      </c>
      <c r="D159" s="146" t="s">
        <v>485</v>
      </c>
      <c r="E159" s="145" t="s">
        <v>14</v>
      </c>
      <c r="F159" s="172"/>
      <c r="G159" s="145"/>
      <c r="H159" s="173"/>
      <c r="I159" s="153"/>
      <c r="J159" s="153"/>
      <c r="K159" s="153"/>
      <c r="L159" s="153"/>
      <c r="M159" s="153"/>
      <c r="N159" s="49"/>
      <c r="O159" s="1633"/>
      <c r="P159" s="660"/>
      <c r="Q159" s="660"/>
    </row>
    <row r="160" spans="2:17" s="48" customFormat="1" ht="48" customHeight="1">
      <c r="B160" s="1628" t="s">
        <v>486</v>
      </c>
      <c r="C160" s="145">
        <f>1200000000+1200000000</f>
        <v>2400000000</v>
      </c>
      <c r="D160" s="149" t="s">
        <v>487</v>
      </c>
      <c r="E160" s="145" t="s">
        <v>14</v>
      </c>
      <c r="F160" s="1625" t="s">
        <v>488</v>
      </c>
      <c r="G160" s="145"/>
      <c r="H160" s="173"/>
      <c r="I160" s="153"/>
      <c r="J160" s="153"/>
      <c r="K160" s="153"/>
      <c r="L160" s="153"/>
      <c r="M160" s="153"/>
      <c r="N160" s="178" t="s">
        <v>37</v>
      </c>
      <c r="O160" s="1620" t="s">
        <v>489</v>
      </c>
      <c r="P160" s="670"/>
      <c r="Q160" s="670"/>
    </row>
    <row r="161" spans="2:17" s="48" customFormat="1" ht="14.25">
      <c r="B161" s="1629"/>
      <c r="C161" s="145">
        <v>300000000</v>
      </c>
      <c r="D161" s="149" t="s">
        <v>490</v>
      </c>
      <c r="E161" s="145" t="s">
        <v>14</v>
      </c>
      <c r="F161" s="1626"/>
      <c r="G161" s="145"/>
      <c r="H161" s="173"/>
      <c r="I161" s="153"/>
      <c r="J161" s="153"/>
      <c r="K161" s="153"/>
      <c r="L161" s="153"/>
      <c r="M161" s="153"/>
      <c r="N161" s="49" t="s">
        <v>37</v>
      </c>
      <c r="O161" s="1622"/>
      <c r="P161" s="660"/>
      <c r="Q161" s="660"/>
    </row>
    <row r="162" spans="2:17" s="48" customFormat="1" ht="14.25">
      <c r="B162" s="1629"/>
      <c r="C162" s="145">
        <v>300000000</v>
      </c>
      <c r="D162" s="149" t="s">
        <v>107</v>
      </c>
      <c r="E162" s="145" t="s">
        <v>14</v>
      </c>
      <c r="F162" s="1626"/>
      <c r="G162" s="145"/>
      <c r="H162" s="173"/>
      <c r="I162" s="153"/>
      <c r="J162" s="153"/>
      <c r="K162" s="153"/>
      <c r="L162" s="153"/>
      <c r="M162" s="153"/>
      <c r="N162" s="49" t="s">
        <v>37</v>
      </c>
      <c r="O162" s="1622"/>
      <c r="P162" s="660"/>
      <c r="Q162" s="660"/>
    </row>
    <row r="163" spans="2:17" s="48" customFormat="1" ht="14.25">
      <c r="B163" s="1629"/>
      <c r="C163" s="145">
        <v>300000000</v>
      </c>
      <c r="D163" s="149" t="s">
        <v>78</v>
      </c>
      <c r="E163" s="145" t="s">
        <v>14</v>
      </c>
      <c r="F163" s="1626"/>
      <c r="G163" s="145"/>
      <c r="H163" s="173"/>
      <c r="I163" s="153"/>
      <c r="J163" s="153"/>
      <c r="K163" s="153"/>
      <c r="L163" s="153"/>
      <c r="M163" s="153"/>
      <c r="N163" s="49" t="s">
        <v>37</v>
      </c>
      <c r="O163" s="1622"/>
      <c r="P163" s="660"/>
      <c r="Q163" s="660"/>
    </row>
    <row r="164" spans="2:17" s="48" customFormat="1" ht="14.25">
      <c r="B164" s="1629"/>
      <c r="C164" s="145">
        <v>300000000</v>
      </c>
      <c r="D164" s="149" t="s">
        <v>491</v>
      </c>
      <c r="E164" s="145" t="s">
        <v>14</v>
      </c>
      <c r="F164" s="1626"/>
      <c r="G164" s="145"/>
      <c r="H164" s="173"/>
      <c r="I164" s="153"/>
      <c r="J164" s="153"/>
      <c r="K164" s="153"/>
      <c r="L164" s="153"/>
      <c r="M164" s="153"/>
      <c r="N164" s="49" t="s">
        <v>37</v>
      </c>
      <c r="O164" s="1622"/>
      <c r="P164" s="660"/>
      <c r="Q164" s="660"/>
    </row>
    <row r="165" spans="2:17" s="48" customFormat="1" ht="14.25">
      <c r="B165" s="1630"/>
      <c r="C165" s="145">
        <v>300000000</v>
      </c>
      <c r="D165" s="149" t="s">
        <v>170</v>
      </c>
      <c r="E165" s="145" t="s">
        <v>14</v>
      </c>
      <c r="F165" s="1627"/>
      <c r="G165" s="145"/>
      <c r="H165" s="173"/>
      <c r="I165" s="153"/>
      <c r="J165" s="153"/>
      <c r="K165" s="153"/>
      <c r="L165" s="153"/>
      <c r="M165" s="153"/>
      <c r="N165" s="49" t="s">
        <v>37</v>
      </c>
      <c r="O165" s="1621"/>
      <c r="P165" s="660"/>
      <c r="Q165" s="660"/>
    </row>
    <row r="166" spans="2:17" s="48" customFormat="1" ht="89.25">
      <c r="B166" s="140" t="s">
        <v>492</v>
      </c>
      <c r="C166" s="141">
        <f>SUM(C167:C186)</f>
        <v>7000000000</v>
      </c>
      <c r="D166" s="141" t="s">
        <v>493</v>
      </c>
      <c r="E166" s="141" t="s">
        <v>14</v>
      </c>
      <c r="F166" s="179" t="s">
        <v>494</v>
      </c>
      <c r="G166" s="141">
        <v>7000</v>
      </c>
      <c r="H166" s="143" t="s">
        <v>5</v>
      </c>
      <c r="I166" s="176"/>
      <c r="J166" s="176"/>
      <c r="K166" s="176"/>
      <c r="L166" s="176"/>
      <c r="M166" s="144"/>
      <c r="N166" s="141"/>
      <c r="O166" s="653"/>
      <c r="P166" s="663"/>
      <c r="Q166" s="664"/>
    </row>
    <row r="167" spans="2:17" s="48" customFormat="1" ht="60">
      <c r="B167" s="180" t="s">
        <v>495</v>
      </c>
      <c r="C167" s="145">
        <v>100000000</v>
      </c>
      <c r="D167" s="146" t="s">
        <v>496</v>
      </c>
      <c r="E167" s="145" t="s">
        <v>14</v>
      </c>
      <c r="F167" s="172"/>
      <c r="G167" s="145"/>
      <c r="H167" s="173"/>
      <c r="I167" s="153"/>
      <c r="J167" s="153"/>
      <c r="K167" s="153"/>
      <c r="L167" s="153"/>
      <c r="M167" s="153"/>
      <c r="N167" s="49" t="s">
        <v>14</v>
      </c>
      <c r="O167" s="651" t="s">
        <v>497</v>
      </c>
      <c r="P167" s="660"/>
      <c r="Q167" s="661"/>
    </row>
    <row r="168" spans="2:17" s="48" customFormat="1" ht="60" customHeight="1">
      <c r="B168" s="1617" t="s">
        <v>498</v>
      </c>
      <c r="C168" s="145">
        <v>1000000000</v>
      </c>
      <c r="D168" s="146" t="s">
        <v>499</v>
      </c>
      <c r="E168" s="145"/>
      <c r="F168" s="172"/>
      <c r="G168" s="145"/>
      <c r="H168" s="173"/>
      <c r="I168" s="153"/>
      <c r="J168" s="153"/>
      <c r="K168" s="153"/>
      <c r="L168" s="153"/>
      <c r="M168" s="153"/>
      <c r="N168" s="49" t="s">
        <v>14</v>
      </c>
      <c r="O168" s="1620" t="s">
        <v>500</v>
      </c>
      <c r="P168" s="660"/>
      <c r="Q168" s="660"/>
    </row>
    <row r="169" spans="2:17" s="48" customFormat="1">
      <c r="B169" s="1618"/>
      <c r="C169" s="145">
        <v>1500000000</v>
      </c>
      <c r="D169" s="146" t="s">
        <v>501</v>
      </c>
      <c r="E169" s="145"/>
      <c r="F169" s="172"/>
      <c r="G169" s="145"/>
      <c r="H169" s="173"/>
      <c r="I169" s="153"/>
      <c r="J169" s="153"/>
      <c r="K169" s="153"/>
      <c r="L169" s="153"/>
      <c r="M169" s="153"/>
      <c r="N169" s="49" t="s">
        <v>37</v>
      </c>
      <c r="O169" s="1622"/>
      <c r="P169" s="660"/>
      <c r="Q169" s="660"/>
    </row>
    <row r="170" spans="2:17" s="48" customFormat="1">
      <c r="B170" s="1618"/>
      <c r="C170" s="145">
        <v>1000000000</v>
      </c>
      <c r="D170" s="157" t="s">
        <v>502</v>
      </c>
      <c r="E170" s="145"/>
      <c r="F170" s="172"/>
      <c r="G170" s="145"/>
      <c r="H170" s="173"/>
      <c r="I170" s="153"/>
      <c r="J170" s="153"/>
      <c r="K170" s="153"/>
      <c r="L170" s="153"/>
      <c r="M170" s="153"/>
      <c r="N170" s="49" t="s">
        <v>37</v>
      </c>
      <c r="O170" s="1622"/>
      <c r="P170" s="660"/>
      <c r="Q170" s="660"/>
    </row>
    <row r="171" spans="2:17" s="48" customFormat="1">
      <c r="B171" s="1619"/>
      <c r="C171" s="145">
        <v>720000000</v>
      </c>
      <c r="D171" s="146" t="s">
        <v>113</v>
      </c>
      <c r="E171" s="145"/>
      <c r="F171" s="172"/>
      <c r="G171" s="145"/>
      <c r="H171" s="173"/>
      <c r="I171" s="153"/>
      <c r="J171" s="153"/>
      <c r="K171" s="153"/>
      <c r="L171" s="153"/>
      <c r="M171" s="153"/>
      <c r="N171" s="49" t="s">
        <v>14</v>
      </c>
      <c r="O171" s="1621"/>
      <c r="P171" s="660"/>
      <c r="Q171" s="660"/>
    </row>
    <row r="172" spans="2:17" s="48" customFormat="1" ht="30">
      <c r="B172" s="1617" t="s">
        <v>503</v>
      </c>
      <c r="C172" s="145">
        <v>600000000</v>
      </c>
      <c r="D172" s="146" t="s">
        <v>504</v>
      </c>
      <c r="E172" s="145" t="s">
        <v>14</v>
      </c>
      <c r="F172" s="172"/>
      <c r="G172" s="145"/>
      <c r="H172" s="173"/>
      <c r="I172" s="153"/>
      <c r="J172" s="153"/>
      <c r="K172" s="153"/>
      <c r="L172" s="153"/>
      <c r="M172" s="153"/>
      <c r="N172" s="49" t="s">
        <v>14</v>
      </c>
      <c r="O172" s="1620" t="s">
        <v>505</v>
      </c>
      <c r="P172" s="660"/>
      <c r="Q172" s="660"/>
    </row>
    <row r="173" spans="2:17" s="48" customFormat="1">
      <c r="B173" s="1618"/>
      <c r="C173" s="145">
        <v>70000000</v>
      </c>
      <c r="D173" s="146" t="s">
        <v>491</v>
      </c>
      <c r="E173" s="145" t="s">
        <v>14</v>
      </c>
      <c r="F173" s="172"/>
      <c r="G173" s="145"/>
      <c r="H173" s="173"/>
      <c r="I173" s="153"/>
      <c r="J173" s="153"/>
      <c r="K173" s="153"/>
      <c r="L173" s="153"/>
      <c r="M173" s="153"/>
      <c r="N173" s="49" t="s">
        <v>37</v>
      </c>
      <c r="O173" s="1622"/>
      <c r="P173" s="660"/>
      <c r="Q173" s="660"/>
    </row>
    <row r="174" spans="2:17" s="48" customFormat="1">
      <c r="B174" s="1618"/>
      <c r="C174" s="145">
        <v>120000000</v>
      </c>
      <c r="D174" s="146" t="s">
        <v>78</v>
      </c>
      <c r="E174" s="145" t="s">
        <v>14</v>
      </c>
      <c r="F174" s="172"/>
      <c r="G174" s="145"/>
      <c r="H174" s="173"/>
      <c r="I174" s="153"/>
      <c r="J174" s="153"/>
      <c r="K174" s="153"/>
      <c r="L174" s="153"/>
      <c r="M174" s="153"/>
      <c r="N174" s="49" t="s">
        <v>37</v>
      </c>
      <c r="O174" s="1622"/>
      <c r="P174" s="660"/>
      <c r="Q174" s="660"/>
    </row>
    <row r="175" spans="2:17" s="48" customFormat="1">
      <c r="B175" s="1618"/>
      <c r="C175" s="145">
        <v>70000000</v>
      </c>
      <c r="D175" s="146" t="s">
        <v>394</v>
      </c>
      <c r="E175" s="145" t="s">
        <v>14</v>
      </c>
      <c r="F175" s="172"/>
      <c r="G175" s="145"/>
      <c r="H175" s="173"/>
      <c r="I175" s="153"/>
      <c r="J175" s="153"/>
      <c r="K175" s="153"/>
      <c r="L175" s="153"/>
      <c r="M175" s="153"/>
      <c r="N175" s="49" t="s">
        <v>37</v>
      </c>
      <c r="O175" s="1622"/>
      <c r="P175" s="660"/>
      <c r="Q175" s="660"/>
    </row>
    <row r="176" spans="2:17" s="48" customFormat="1">
      <c r="B176" s="1618"/>
      <c r="C176" s="145">
        <v>70000000</v>
      </c>
      <c r="D176" s="146" t="s">
        <v>506</v>
      </c>
      <c r="E176" s="145" t="s">
        <v>14</v>
      </c>
      <c r="F176" s="172"/>
      <c r="G176" s="145"/>
      <c r="H176" s="173"/>
      <c r="I176" s="153"/>
      <c r="J176" s="153"/>
      <c r="K176" s="153"/>
      <c r="L176" s="153"/>
      <c r="M176" s="153"/>
      <c r="N176" s="49" t="s">
        <v>37</v>
      </c>
      <c r="O176" s="1622"/>
      <c r="P176" s="660"/>
      <c r="Q176" s="660"/>
    </row>
    <row r="177" spans="2:17" s="48" customFormat="1">
      <c r="B177" s="1618"/>
      <c r="C177" s="145">
        <v>70000000</v>
      </c>
      <c r="D177" s="146" t="s">
        <v>168</v>
      </c>
      <c r="E177" s="145" t="s">
        <v>14</v>
      </c>
      <c r="F177" s="172"/>
      <c r="G177" s="145"/>
      <c r="H177" s="173"/>
      <c r="I177" s="153"/>
      <c r="J177" s="153"/>
      <c r="K177" s="153"/>
      <c r="L177" s="153"/>
      <c r="M177" s="153"/>
      <c r="N177" s="49" t="s">
        <v>37</v>
      </c>
      <c r="O177" s="1621"/>
      <c r="P177" s="660"/>
      <c r="Q177" s="660"/>
    </row>
    <row r="178" spans="2:17" s="48" customFormat="1">
      <c r="B178" s="1618"/>
      <c r="C178" s="145">
        <v>260000000</v>
      </c>
      <c r="D178" s="146" t="s">
        <v>75</v>
      </c>
      <c r="E178" s="145" t="s">
        <v>14</v>
      </c>
      <c r="F178" s="172"/>
      <c r="G178" s="145"/>
      <c r="H178" s="173"/>
      <c r="I178" s="153"/>
      <c r="J178" s="153"/>
      <c r="K178" s="153"/>
      <c r="L178" s="153"/>
      <c r="M178" s="153"/>
      <c r="N178" s="49"/>
      <c r="O178" s="651"/>
      <c r="P178" s="660"/>
      <c r="Q178" s="661"/>
    </row>
    <row r="179" spans="2:17" s="48" customFormat="1">
      <c r="B179" s="1618"/>
      <c r="C179" s="145">
        <v>15000000</v>
      </c>
      <c r="D179" s="146" t="s">
        <v>33</v>
      </c>
      <c r="E179" s="145" t="s">
        <v>14</v>
      </c>
      <c r="F179" s="172"/>
      <c r="G179" s="145"/>
      <c r="H179" s="173"/>
      <c r="I179" s="153"/>
      <c r="J179" s="153"/>
      <c r="K179" s="153"/>
      <c r="L179" s="153"/>
      <c r="M179" s="153"/>
      <c r="N179" s="49"/>
      <c r="O179" s="651"/>
      <c r="P179" s="660"/>
      <c r="Q179" s="661"/>
    </row>
    <row r="180" spans="2:17" s="48" customFormat="1">
      <c r="B180" s="1618"/>
      <c r="C180" s="145">
        <v>15000000</v>
      </c>
      <c r="D180" s="146" t="s">
        <v>2</v>
      </c>
      <c r="E180" s="145" t="s">
        <v>14</v>
      </c>
      <c r="F180" s="172"/>
      <c r="G180" s="145"/>
      <c r="H180" s="173"/>
      <c r="I180" s="153"/>
      <c r="J180" s="153"/>
      <c r="K180" s="153"/>
      <c r="L180" s="153"/>
      <c r="M180" s="153"/>
      <c r="N180" s="49"/>
      <c r="O180" s="651"/>
      <c r="P180" s="660"/>
      <c r="Q180" s="661"/>
    </row>
    <row r="181" spans="2:17" s="48" customFormat="1">
      <c r="B181" s="1618"/>
      <c r="C181" s="145">
        <v>200000000</v>
      </c>
      <c r="D181" s="146" t="s">
        <v>1</v>
      </c>
      <c r="E181" s="145" t="s">
        <v>14</v>
      </c>
      <c r="F181" s="172"/>
      <c r="G181" s="145"/>
      <c r="H181" s="173"/>
      <c r="I181" s="153"/>
      <c r="J181" s="153"/>
      <c r="K181" s="153"/>
      <c r="L181" s="153"/>
      <c r="M181" s="153"/>
      <c r="N181" s="49"/>
      <c r="O181" s="651"/>
      <c r="P181" s="660"/>
      <c r="Q181" s="661"/>
    </row>
    <row r="182" spans="2:17" s="48" customFormat="1" ht="30">
      <c r="B182" s="1619"/>
      <c r="C182" s="145">
        <v>10000000</v>
      </c>
      <c r="D182" s="146" t="s">
        <v>34</v>
      </c>
      <c r="E182" s="145" t="s">
        <v>14</v>
      </c>
      <c r="F182" s="172"/>
      <c r="G182" s="145"/>
      <c r="H182" s="173"/>
      <c r="I182" s="153"/>
      <c r="J182" s="153"/>
      <c r="K182" s="153"/>
      <c r="L182" s="153"/>
      <c r="M182" s="153"/>
      <c r="N182" s="49"/>
      <c r="O182" s="651"/>
      <c r="P182" s="660"/>
      <c r="Q182" s="661"/>
    </row>
    <row r="183" spans="2:17" s="48" customFormat="1" ht="45">
      <c r="B183" s="167" t="s">
        <v>507</v>
      </c>
      <c r="C183" s="145">
        <v>800000000</v>
      </c>
      <c r="D183" s="146" t="s">
        <v>0</v>
      </c>
      <c r="E183" s="145" t="s">
        <v>14</v>
      </c>
      <c r="F183" s="172"/>
      <c r="G183" s="145"/>
      <c r="H183" s="173"/>
      <c r="I183" s="153"/>
      <c r="J183" s="153"/>
      <c r="K183" s="153"/>
      <c r="L183" s="153"/>
      <c r="M183" s="153"/>
      <c r="N183" s="49" t="s">
        <v>37</v>
      </c>
      <c r="O183" s="651" t="s">
        <v>508</v>
      </c>
      <c r="P183" s="660"/>
      <c r="Q183" s="661"/>
    </row>
    <row r="184" spans="2:17" s="48" customFormat="1">
      <c r="B184" s="1617" t="s">
        <v>509</v>
      </c>
      <c r="C184" s="145">
        <v>100000000</v>
      </c>
      <c r="D184" s="146" t="s">
        <v>80</v>
      </c>
      <c r="E184" s="145" t="s">
        <v>14</v>
      </c>
      <c r="F184" s="172"/>
      <c r="G184" s="145"/>
      <c r="H184" s="173"/>
      <c r="I184" s="153"/>
      <c r="J184" s="153"/>
      <c r="K184" s="153"/>
      <c r="L184" s="153"/>
      <c r="M184" s="153"/>
      <c r="N184" s="49" t="s">
        <v>37</v>
      </c>
      <c r="O184" s="651" t="s">
        <v>510</v>
      </c>
      <c r="P184" s="660"/>
      <c r="Q184" s="661"/>
    </row>
    <row r="185" spans="2:17" s="48" customFormat="1" ht="24" customHeight="1">
      <c r="B185" s="1618"/>
      <c r="C185" s="145">
        <v>200000000</v>
      </c>
      <c r="D185" s="146" t="s">
        <v>113</v>
      </c>
      <c r="E185" s="145" t="s">
        <v>14</v>
      </c>
      <c r="F185" s="172"/>
      <c r="G185" s="145"/>
      <c r="H185" s="173"/>
      <c r="I185" s="153"/>
      <c r="J185" s="153"/>
      <c r="K185" s="153"/>
      <c r="L185" s="153"/>
      <c r="M185" s="153"/>
      <c r="N185" s="49" t="s">
        <v>14</v>
      </c>
      <c r="O185" s="1620" t="s">
        <v>511</v>
      </c>
      <c r="P185" s="660"/>
      <c r="Q185" s="660"/>
    </row>
    <row r="186" spans="2:17" s="48" customFormat="1" ht="44.25" customHeight="1">
      <c r="B186" s="1619"/>
      <c r="C186" s="145">
        <v>80000000</v>
      </c>
      <c r="D186" s="146" t="s">
        <v>512</v>
      </c>
      <c r="E186" s="145" t="s">
        <v>14</v>
      </c>
      <c r="F186" s="172"/>
      <c r="G186" s="145"/>
      <c r="H186" s="173"/>
      <c r="I186" s="153"/>
      <c r="J186" s="153"/>
      <c r="K186" s="153"/>
      <c r="L186" s="153"/>
      <c r="M186" s="153"/>
      <c r="N186" s="49" t="s">
        <v>14</v>
      </c>
      <c r="O186" s="1621"/>
      <c r="P186" s="660"/>
      <c r="Q186" s="660"/>
    </row>
    <row r="187" spans="2:17" s="48" customFormat="1" ht="105">
      <c r="B187" s="140" t="s">
        <v>513</v>
      </c>
      <c r="C187" s="141">
        <f>SUM(C188:C190)</f>
        <v>1200000000</v>
      </c>
      <c r="D187" s="141" t="s">
        <v>408</v>
      </c>
      <c r="E187" s="141" t="s">
        <v>37</v>
      </c>
      <c r="F187" s="141" t="s">
        <v>408</v>
      </c>
      <c r="G187" s="141">
        <v>3200</v>
      </c>
      <c r="H187" s="181" t="s">
        <v>5</v>
      </c>
      <c r="I187" s="182"/>
      <c r="J187" s="182"/>
      <c r="K187" s="182"/>
      <c r="L187" s="182"/>
      <c r="M187" s="182"/>
      <c r="N187" s="141"/>
      <c r="O187" s="653"/>
      <c r="P187" s="663"/>
      <c r="Q187" s="664"/>
    </row>
    <row r="188" spans="2:17" s="48" customFormat="1">
      <c r="B188" s="1617" t="s">
        <v>514</v>
      </c>
      <c r="C188" s="145">
        <f>2400000000-2000000000</f>
        <v>400000000</v>
      </c>
      <c r="D188" s="146" t="s">
        <v>0</v>
      </c>
      <c r="E188" s="145"/>
      <c r="F188" s="172"/>
      <c r="G188" s="145"/>
      <c r="H188" s="173"/>
      <c r="I188" s="153"/>
      <c r="J188" s="153"/>
      <c r="K188" s="153"/>
      <c r="L188" s="153"/>
      <c r="M188" s="153"/>
      <c r="N188" s="49" t="s">
        <v>14</v>
      </c>
      <c r="O188" s="1620" t="s">
        <v>515</v>
      </c>
      <c r="P188" s="660"/>
      <c r="Q188" s="660"/>
    </row>
    <row r="189" spans="2:17" s="48" customFormat="1">
      <c r="B189" s="1618"/>
      <c r="C189" s="145">
        <v>300000000</v>
      </c>
      <c r="D189" s="146" t="s">
        <v>516</v>
      </c>
      <c r="E189" s="145"/>
      <c r="F189" s="172"/>
      <c r="G189" s="145"/>
      <c r="H189" s="173"/>
      <c r="I189" s="153"/>
      <c r="J189" s="153"/>
      <c r="K189" s="153"/>
      <c r="L189" s="153"/>
      <c r="M189" s="153"/>
      <c r="N189" s="49" t="s">
        <v>37</v>
      </c>
      <c r="O189" s="1622"/>
      <c r="P189" s="660"/>
      <c r="Q189" s="660"/>
    </row>
    <row r="190" spans="2:17" s="48" customFormat="1" ht="57" customHeight="1">
      <c r="B190" s="1619"/>
      <c r="C190" s="145">
        <v>500000000</v>
      </c>
      <c r="D190" s="146" t="s">
        <v>517</v>
      </c>
      <c r="E190" s="145"/>
      <c r="F190" s="172"/>
      <c r="G190" s="145"/>
      <c r="H190" s="173"/>
      <c r="I190" s="153"/>
      <c r="J190" s="153"/>
      <c r="K190" s="153"/>
      <c r="L190" s="153"/>
      <c r="M190" s="153"/>
      <c r="N190" s="49" t="s">
        <v>37</v>
      </c>
      <c r="O190" s="1621"/>
      <c r="P190" s="660"/>
      <c r="Q190" s="660"/>
    </row>
    <row r="191" spans="2:17" s="48" customFormat="1" ht="66.75">
      <c r="B191" s="140" t="s">
        <v>518</v>
      </c>
      <c r="C191" s="141">
        <f>SUM(C192:C198)</f>
        <v>37023000000</v>
      </c>
      <c r="D191" s="141" t="s">
        <v>519</v>
      </c>
      <c r="E191" s="141" t="s">
        <v>14</v>
      </c>
      <c r="F191" s="183"/>
      <c r="G191" s="141">
        <v>35023</v>
      </c>
      <c r="H191" s="144" t="s">
        <v>4</v>
      </c>
      <c r="I191" s="176"/>
      <c r="J191" s="176"/>
      <c r="K191" s="176"/>
      <c r="L191" s="176"/>
      <c r="M191" s="144"/>
      <c r="N191" s="141"/>
      <c r="O191" s="653"/>
      <c r="P191" s="663"/>
      <c r="Q191" s="664"/>
    </row>
    <row r="192" spans="2:17" s="48" customFormat="1" ht="75">
      <c r="B192" s="146" t="s">
        <v>520</v>
      </c>
      <c r="C192" s="145">
        <f>6539000000+2000000000</f>
        <v>8539000000</v>
      </c>
      <c r="D192" s="1623" t="s">
        <v>519</v>
      </c>
      <c r="E192" s="145" t="s">
        <v>14</v>
      </c>
      <c r="F192" s="172"/>
      <c r="G192" s="145"/>
      <c r="H192" s="173"/>
      <c r="I192" s="153"/>
      <c r="J192" s="153"/>
      <c r="K192" s="153"/>
      <c r="L192" s="153"/>
      <c r="M192" s="153"/>
      <c r="N192" s="49" t="s">
        <v>14</v>
      </c>
      <c r="O192" s="651" t="s">
        <v>521</v>
      </c>
      <c r="P192" s="660"/>
      <c r="Q192" s="661"/>
    </row>
    <row r="193" spans="2:17" s="48" customFormat="1" ht="112.5">
      <c r="B193" s="59" t="s">
        <v>522</v>
      </c>
      <c r="C193" s="145">
        <v>2080000000</v>
      </c>
      <c r="D193" s="1624"/>
      <c r="E193" s="145" t="s">
        <v>14</v>
      </c>
      <c r="F193" s="184" t="s">
        <v>523</v>
      </c>
      <c r="G193" s="145"/>
      <c r="H193" s="173"/>
      <c r="I193" s="153"/>
      <c r="J193" s="153"/>
      <c r="K193" s="153"/>
      <c r="L193" s="153"/>
      <c r="M193" s="153"/>
      <c r="N193" s="49" t="s">
        <v>14</v>
      </c>
      <c r="O193" s="1620" t="s">
        <v>524</v>
      </c>
      <c r="P193" s="660"/>
      <c r="Q193" s="660"/>
    </row>
    <row r="194" spans="2:17" s="48" customFormat="1" ht="123.75">
      <c r="B194" s="59" t="s">
        <v>522</v>
      </c>
      <c r="C194" s="145">
        <v>8800000000</v>
      </c>
      <c r="D194" s="1624"/>
      <c r="E194" s="145" t="s">
        <v>14</v>
      </c>
      <c r="F194" s="184" t="s">
        <v>525</v>
      </c>
      <c r="G194" s="145"/>
      <c r="H194" s="173"/>
      <c r="I194" s="153"/>
      <c r="J194" s="153"/>
      <c r="K194" s="153"/>
      <c r="L194" s="153"/>
      <c r="M194" s="153"/>
      <c r="N194" s="49" t="s">
        <v>14</v>
      </c>
      <c r="O194" s="1621"/>
      <c r="P194" s="660"/>
      <c r="Q194" s="660"/>
    </row>
    <row r="195" spans="2:17" s="48" customFormat="1" ht="90">
      <c r="B195" s="185" t="s">
        <v>219</v>
      </c>
      <c r="C195" s="145">
        <v>4000000000</v>
      </c>
      <c r="D195" s="1624"/>
      <c r="E195" s="145" t="s">
        <v>14</v>
      </c>
      <c r="F195" s="184" t="s">
        <v>526</v>
      </c>
      <c r="G195" s="145"/>
      <c r="H195" s="173"/>
      <c r="I195" s="153"/>
      <c r="J195" s="153"/>
      <c r="K195" s="153"/>
      <c r="L195" s="153"/>
      <c r="M195" s="153"/>
      <c r="N195" s="49" t="s">
        <v>14</v>
      </c>
      <c r="O195" s="651" t="s">
        <v>527</v>
      </c>
      <c r="P195" s="660"/>
      <c r="Q195" s="661"/>
    </row>
    <row r="196" spans="2:17" s="48" customFormat="1" ht="67.5">
      <c r="B196" s="185" t="s">
        <v>528</v>
      </c>
      <c r="C196" s="145">
        <v>5704000000</v>
      </c>
      <c r="D196" s="1624"/>
      <c r="E196" s="145" t="s">
        <v>14</v>
      </c>
      <c r="F196" s="184" t="s">
        <v>529</v>
      </c>
      <c r="G196" s="145"/>
      <c r="H196" s="173"/>
      <c r="I196" s="153"/>
      <c r="J196" s="153"/>
      <c r="K196" s="153"/>
      <c r="L196" s="153"/>
      <c r="M196" s="153"/>
      <c r="N196" s="49" t="s">
        <v>14</v>
      </c>
      <c r="O196" s="651" t="s">
        <v>530</v>
      </c>
      <c r="P196" s="660"/>
      <c r="Q196" s="661"/>
    </row>
    <row r="197" spans="2:17" s="48" customFormat="1" ht="90">
      <c r="B197" s="185" t="s">
        <v>531</v>
      </c>
      <c r="C197" s="145">
        <v>6400000000</v>
      </c>
      <c r="D197" s="1624"/>
      <c r="E197" s="145" t="s">
        <v>14</v>
      </c>
      <c r="F197" s="184" t="s">
        <v>532</v>
      </c>
      <c r="G197" s="145"/>
      <c r="H197" s="173"/>
      <c r="I197" s="153"/>
      <c r="J197" s="153"/>
      <c r="K197" s="153"/>
      <c r="L197" s="153"/>
      <c r="M197" s="153"/>
      <c r="N197" s="49" t="s">
        <v>14</v>
      </c>
      <c r="O197" s="651" t="s">
        <v>533</v>
      </c>
      <c r="P197" s="660"/>
      <c r="Q197" s="661"/>
    </row>
    <row r="198" spans="2:17" s="48" customFormat="1" ht="113.25" thickBot="1">
      <c r="B198" s="146" t="s">
        <v>534</v>
      </c>
      <c r="C198" s="145">
        <v>1500000000</v>
      </c>
      <c r="D198" s="145"/>
      <c r="E198" s="145" t="s">
        <v>14</v>
      </c>
      <c r="F198" s="184" t="s">
        <v>535</v>
      </c>
      <c r="G198" s="145"/>
      <c r="H198" s="173"/>
      <c r="I198" s="153"/>
      <c r="J198" s="153"/>
      <c r="K198" s="153"/>
      <c r="L198" s="153"/>
      <c r="M198" s="153"/>
      <c r="N198" s="49" t="s">
        <v>37</v>
      </c>
      <c r="O198" s="651" t="s">
        <v>536</v>
      </c>
      <c r="P198" s="671"/>
      <c r="Q198" s="672"/>
    </row>
    <row r="199" spans="2:17" s="186" customFormat="1" ht="15.75">
      <c r="B199" s="187" t="s">
        <v>116</v>
      </c>
      <c r="C199" s="188">
        <f>C191+C187+C166+C151+C88+C85+C51+C44+C32+C27+C7</f>
        <v>150346240000</v>
      </c>
      <c r="D199" s="47"/>
      <c r="E199" s="47"/>
      <c r="F199" s="47"/>
      <c r="G199" s="42"/>
      <c r="H199" s="42"/>
      <c r="I199" s="43"/>
      <c r="J199" s="43"/>
      <c r="K199" s="43"/>
      <c r="L199" s="43"/>
      <c r="M199" s="43"/>
      <c r="N199" s="49"/>
      <c r="O199" s="139"/>
      <c r="P199" s="640"/>
      <c r="Q199" s="639"/>
    </row>
    <row r="200" spans="2:17" s="189" customFormat="1" ht="15.75">
      <c r="B200" s="47"/>
      <c r="C200" s="47"/>
      <c r="D200" s="47"/>
      <c r="E200" s="47"/>
      <c r="F200" s="47"/>
      <c r="G200" s="42"/>
      <c r="H200" s="42"/>
      <c r="I200" s="43"/>
      <c r="J200" s="43"/>
      <c r="K200" s="43"/>
      <c r="L200" s="43"/>
      <c r="M200" s="43"/>
      <c r="N200" s="556" t="s">
        <v>1152</v>
      </c>
      <c r="O200" s="557">
        <v>60</v>
      </c>
      <c r="P200" s="556" t="s">
        <v>1152</v>
      </c>
      <c r="Q200" s="557"/>
    </row>
    <row r="201" spans="2:17" s="186" customFormat="1" ht="14.25">
      <c r="N201" s="556" t="s">
        <v>1151</v>
      </c>
      <c r="O201" s="557">
        <v>29</v>
      </c>
      <c r="P201" s="556" t="s">
        <v>1151</v>
      </c>
      <c r="Q201" s="557"/>
    </row>
    <row r="202" spans="2:17" s="186" customFormat="1" ht="18.75">
      <c r="N202" s="556"/>
      <c r="O202" s="558">
        <f>O201/O200</f>
        <v>0.48333333333333334</v>
      </c>
      <c r="P202" s="556"/>
      <c r="Q202" s="558"/>
    </row>
    <row r="203" spans="2:17" s="186" customFormat="1" ht="14.25">
      <c r="N203" s="58"/>
      <c r="O203" s="138"/>
      <c r="P203" s="58"/>
      <c r="Q203" s="138"/>
    </row>
    <row r="204" spans="2:17">
      <c r="K204" s="559"/>
      <c r="N204" s="66" t="s">
        <v>1153</v>
      </c>
      <c r="P204" s="66" t="s">
        <v>1153</v>
      </c>
    </row>
  </sheetData>
  <mergeCells count="78">
    <mergeCell ref="B45:B46"/>
    <mergeCell ref="B86:B87"/>
    <mergeCell ref="B89:B95"/>
    <mergeCell ref="B96:B102"/>
    <mergeCell ref="B103:B109"/>
    <mergeCell ref="B2:C2"/>
    <mergeCell ref="B4:B6"/>
    <mergeCell ref="C4:C6"/>
    <mergeCell ref="D4:D6"/>
    <mergeCell ref="E4:E5"/>
    <mergeCell ref="D2:Q2"/>
    <mergeCell ref="J3:Q3"/>
    <mergeCell ref="N8:N11"/>
    <mergeCell ref="B23:B24"/>
    <mergeCell ref="O23:O25"/>
    <mergeCell ref="I4:I6"/>
    <mergeCell ref="J4:M4"/>
    <mergeCell ref="N4:O4"/>
    <mergeCell ref="J5:K5"/>
    <mergeCell ref="L5:M5"/>
    <mergeCell ref="B8:B11"/>
    <mergeCell ref="F8:F11"/>
    <mergeCell ref="G4:G6"/>
    <mergeCell ref="H4:H6"/>
    <mergeCell ref="F4:F6"/>
    <mergeCell ref="O35:O42"/>
    <mergeCell ref="B12:B22"/>
    <mergeCell ref="F12:F22"/>
    <mergeCell ref="N12:N22"/>
    <mergeCell ref="O12:O22"/>
    <mergeCell ref="D27:D31"/>
    <mergeCell ref="H27:M27"/>
    <mergeCell ref="F32:F43"/>
    <mergeCell ref="B35:B42"/>
    <mergeCell ref="N35:N42"/>
    <mergeCell ref="B154:B159"/>
    <mergeCell ref="O154:O159"/>
    <mergeCell ref="H51:M51"/>
    <mergeCell ref="B52:B53"/>
    <mergeCell ref="O52:O84"/>
    <mergeCell ref="B56:B61"/>
    <mergeCell ref="B67:B69"/>
    <mergeCell ref="B70:B75"/>
    <mergeCell ref="B77:B80"/>
    <mergeCell ref="B81:B84"/>
    <mergeCell ref="B54:B55"/>
    <mergeCell ref="B62:B66"/>
    <mergeCell ref="N54:N55"/>
    <mergeCell ref="B117:B123"/>
    <mergeCell ref="B124:B133"/>
    <mergeCell ref="B110:B116"/>
    <mergeCell ref="O125:O127"/>
    <mergeCell ref="B134:B138"/>
    <mergeCell ref="B140:B144"/>
    <mergeCell ref="B145:B150"/>
    <mergeCell ref="B152:B153"/>
    <mergeCell ref="F160:F165"/>
    <mergeCell ref="O160:O165"/>
    <mergeCell ref="B168:B171"/>
    <mergeCell ref="O168:O171"/>
    <mergeCell ref="B172:B182"/>
    <mergeCell ref="O172:O177"/>
    <mergeCell ref="B160:B165"/>
    <mergeCell ref="B184:B186"/>
    <mergeCell ref="O185:O186"/>
    <mergeCell ref="B188:B190"/>
    <mergeCell ref="O188:O190"/>
    <mergeCell ref="D192:D197"/>
    <mergeCell ref="O193:O194"/>
    <mergeCell ref="P23:P25"/>
    <mergeCell ref="Q54:Q55"/>
    <mergeCell ref="P54:P55"/>
    <mergeCell ref="P4:Q4"/>
    <mergeCell ref="P12:P22"/>
    <mergeCell ref="Q12:Q22"/>
    <mergeCell ref="Q23:Q25"/>
    <mergeCell ref="P35:P42"/>
    <mergeCell ref="Q35:Q42"/>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M213"/>
  <sheetViews>
    <sheetView zoomScale="80" zoomScaleNormal="80" workbookViewId="0">
      <pane xSplit="4" ySplit="1" topLeftCell="AD210" activePane="bottomRight" state="frozen"/>
      <selection pane="topRight" activeCell="E1" sqref="E1"/>
      <selection pane="bottomLeft" activeCell="A8" sqref="A8"/>
      <selection pane="bottomRight" activeCell="AM217" sqref="AM217"/>
    </sheetView>
  </sheetViews>
  <sheetFormatPr baseColWidth="10" defaultRowHeight="15"/>
  <cols>
    <col min="1" max="1" width="1.85546875" style="43" customWidth="1"/>
    <col min="2" max="2" width="14" style="43" customWidth="1"/>
    <col min="3" max="3" width="17.42578125" style="43" customWidth="1"/>
    <col min="4" max="4" width="15.28515625" style="43" customWidth="1"/>
    <col min="5" max="5" width="27.85546875" style="43" customWidth="1"/>
    <col min="6" max="6" width="17.5703125" style="43" hidden="1" customWidth="1"/>
    <col min="7" max="7" width="13" style="43" hidden="1" customWidth="1"/>
    <col min="8" max="8" width="20.28515625" style="43" hidden="1" customWidth="1"/>
    <col min="9" max="9" width="18.7109375" style="43" hidden="1" customWidth="1"/>
    <col min="10" max="10" width="0" style="43" hidden="1" customWidth="1"/>
    <col min="11" max="11" width="16" style="43" hidden="1" customWidth="1"/>
    <col min="12" max="12" width="0" style="43" hidden="1" customWidth="1"/>
    <col min="13" max="13" width="15.7109375" style="43" hidden="1" customWidth="1"/>
    <col min="14" max="14" width="15.28515625" style="43" hidden="1" customWidth="1"/>
    <col min="15" max="15" width="17.140625" style="43" hidden="1" customWidth="1"/>
    <col min="16" max="16" width="0" style="341" hidden="1" customWidth="1"/>
    <col min="17" max="17" width="15.7109375" style="43" hidden="1" customWidth="1"/>
    <col min="18" max="18" width="11.42578125" style="43" hidden="1" customWidth="1"/>
    <col min="19" max="19" width="16" style="43" hidden="1" customWidth="1"/>
    <col min="20" max="20" width="11.42578125" style="43" hidden="1" customWidth="1"/>
    <col min="21" max="21" width="15.7109375" style="43" hidden="1" customWidth="1"/>
    <col min="22" max="22" width="11.42578125" style="43" hidden="1" customWidth="1"/>
    <col min="23" max="23" width="16" style="43" hidden="1" customWidth="1"/>
    <col min="24" max="24" width="11.42578125" style="43" hidden="1" customWidth="1"/>
    <col min="25" max="25" width="16" style="43" hidden="1" customWidth="1"/>
    <col min="26" max="26" width="11.42578125" style="43" hidden="1" customWidth="1"/>
    <col min="27" max="27" width="16" style="43" hidden="1" customWidth="1"/>
    <col min="28" max="28" width="11.42578125" style="43" hidden="1" customWidth="1"/>
    <col min="29" max="29" width="16" style="43" hidden="1" customWidth="1"/>
    <col min="30" max="30" width="11.42578125" style="43" customWidth="1"/>
    <col min="31" max="31" width="16" style="43" customWidth="1"/>
    <col min="32" max="32" width="11.42578125" style="43" customWidth="1"/>
    <col min="33" max="33" width="16" style="43" customWidth="1"/>
    <col min="34" max="34" width="11.42578125" style="43" customWidth="1"/>
    <col min="35" max="35" width="16" style="43" customWidth="1"/>
    <col min="36" max="36" width="25.85546875" style="43" customWidth="1"/>
    <col min="37" max="37" width="19.42578125" style="43" customWidth="1"/>
    <col min="38" max="38" width="21.42578125" style="43" customWidth="1"/>
    <col min="39" max="39" width="19.42578125" style="1221" customWidth="1"/>
    <col min="40" max="40" width="21.42578125" style="43" customWidth="1"/>
    <col min="41" max="16384" width="11.42578125" style="43"/>
  </cols>
  <sheetData>
    <row r="1" spans="2:39" ht="21" thickBot="1">
      <c r="B1" s="1528"/>
      <c r="C1" s="1529"/>
      <c r="D1" s="1466" t="s">
        <v>3144</v>
      </c>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row>
    <row r="2" spans="2:39" ht="15.75" thickBot="1">
      <c r="B2" s="48"/>
      <c r="C2" s="48"/>
      <c r="D2" s="48"/>
      <c r="E2" s="48"/>
      <c r="F2" s="48"/>
      <c r="G2" s="48"/>
      <c r="H2" s="48"/>
      <c r="I2" s="48"/>
      <c r="J2" s="1469" t="s">
        <v>228</v>
      </c>
      <c r="K2" s="1469"/>
      <c r="L2" s="1469"/>
      <c r="M2" s="1469"/>
      <c r="N2" s="1469"/>
      <c r="O2" s="1469"/>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row>
    <row r="3" spans="2:39" ht="15.75" thickBot="1">
      <c r="B3" s="1683" t="s">
        <v>48</v>
      </c>
      <c r="C3" s="1683" t="s">
        <v>49</v>
      </c>
      <c r="D3" s="1683" t="s">
        <v>3145</v>
      </c>
      <c r="E3" s="1683" t="s">
        <v>230</v>
      </c>
      <c r="F3" s="1683" t="s">
        <v>131</v>
      </c>
      <c r="G3" s="1683" t="s">
        <v>231</v>
      </c>
      <c r="H3" s="1683" t="s">
        <v>232</v>
      </c>
      <c r="I3" s="1683" t="s">
        <v>233</v>
      </c>
      <c r="J3" s="1684" t="s">
        <v>234</v>
      </c>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6" t="s">
        <v>1447</v>
      </c>
      <c r="AL3" s="1686"/>
    </row>
    <row r="4" spans="2:39" ht="15.75" thickBot="1">
      <c r="B4" s="1683"/>
      <c r="C4" s="1683"/>
      <c r="D4" s="1683"/>
      <c r="E4" s="1683"/>
      <c r="F4" s="1683"/>
      <c r="G4" s="1683"/>
      <c r="H4" s="1683"/>
      <c r="I4" s="1683"/>
      <c r="J4" s="1687" t="s">
        <v>236</v>
      </c>
      <c r="K4" s="1687"/>
      <c r="L4" s="1688" t="s">
        <v>237</v>
      </c>
      <c r="M4" s="1689"/>
      <c r="N4" s="1689"/>
      <c r="O4" s="1689"/>
      <c r="P4" s="1689"/>
      <c r="Q4" s="1689"/>
      <c r="R4" s="1689"/>
      <c r="S4" s="1689"/>
      <c r="T4" s="1689"/>
      <c r="U4" s="1689"/>
      <c r="V4" s="1689"/>
      <c r="W4" s="1689"/>
      <c r="X4" s="1689"/>
      <c r="Y4" s="1689"/>
      <c r="Z4" s="1689"/>
      <c r="AA4" s="1689"/>
      <c r="AB4" s="1689"/>
      <c r="AC4" s="1689"/>
      <c r="AD4" s="1689"/>
      <c r="AE4" s="1689"/>
      <c r="AF4" s="1689"/>
      <c r="AG4" s="1689"/>
      <c r="AH4" s="1689"/>
      <c r="AI4" s="1689"/>
      <c r="AJ4" s="1690"/>
      <c r="AK4" s="1691" t="s">
        <v>18</v>
      </c>
      <c r="AL4" s="1692" t="s">
        <v>71</v>
      </c>
    </row>
    <row r="5" spans="2:39" ht="15.75" thickBot="1">
      <c r="B5" s="1683"/>
      <c r="C5" s="1683"/>
      <c r="D5" s="1683"/>
      <c r="E5" s="1407" t="s">
        <v>238</v>
      </c>
      <c r="F5" s="1683"/>
      <c r="G5" s="1683"/>
      <c r="H5" s="1683"/>
      <c r="I5" s="1683"/>
      <c r="J5" s="1408" t="s">
        <v>239</v>
      </c>
      <c r="K5" s="1408" t="s">
        <v>240</v>
      </c>
      <c r="L5" s="1408" t="s">
        <v>239</v>
      </c>
      <c r="M5" s="1408" t="s">
        <v>240</v>
      </c>
      <c r="N5" s="1408" t="s">
        <v>239</v>
      </c>
      <c r="O5" s="1408" t="s">
        <v>240</v>
      </c>
      <c r="P5" s="1409" t="s">
        <v>239</v>
      </c>
      <c r="Q5" s="1408" t="s">
        <v>240</v>
      </c>
      <c r="R5" s="1408" t="s">
        <v>239</v>
      </c>
      <c r="S5" s="1408" t="s">
        <v>240</v>
      </c>
      <c r="T5" s="1408" t="s">
        <v>239</v>
      </c>
      <c r="U5" s="1408" t="s">
        <v>240</v>
      </c>
      <c r="V5" s="1410" t="s">
        <v>239</v>
      </c>
      <c r="W5" s="1408" t="s">
        <v>240</v>
      </c>
      <c r="X5" s="1408" t="s">
        <v>239</v>
      </c>
      <c r="Y5" s="1408" t="s">
        <v>240</v>
      </c>
      <c r="Z5" s="1408" t="s">
        <v>239</v>
      </c>
      <c r="AA5" s="1408" t="s">
        <v>240</v>
      </c>
      <c r="AB5" s="1409" t="s">
        <v>239</v>
      </c>
      <c r="AC5" s="1408" t="s">
        <v>240</v>
      </c>
      <c r="AD5" s="1410" t="s">
        <v>239</v>
      </c>
      <c r="AE5" s="1411" t="s">
        <v>240</v>
      </c>
      <c r="AF5" s="1408" t="s">
        <v>239</v>
      </c>
      <c r="AG5" s="1408" t="s">
        <v>240</v>
      </c>
      <c r="AH5" s="1408" t="s">
        <v>239</v>
      </c>
      <c r="AI5" s="1408" t="s">
        <v>240</v>
      </c>
      <c r="AJ5" s="1408" t="s">
        <v>116</v>
      </c>
      <c r="AK5" s="1691"/>
      <c r="AL5" s="1692"/>
    </row>
    <row r="6" spans="2:39">
      <c r="B6" s="342"/>
      <c r="C6" s="343"/>
      <c r="D6" s="344"/>
      <c r="E6" s="124"/>
      <c r="F6" s="124"/>
      <c r="G6" s="345"/>
      <c r="H6" s="193"/>
      <c r="I6" s="193"/>
      <c r="J6" s="193"/>
      <c r="K6" s="205"/>
      <c r="L6" s="205" t="s">
        <v>50</v>
      </c>
      <c r="M6" s="205"/>
      <c r="N6" s="205" t="s">
        <v>4</v>
      </c>
      <c r="O6" s="205"/>
      <c r="P6" s="1077" t="s">
        <v>5</v>
      </c>
      <c r="Q6" s="205"/>
      <c r="R6" s="346" t="s">
        <v>6</v>
      </c>
      <c r="S6" s="205"/>
      <c r="T6" s="124" t="s">
        <v>13</v>
      </c>
      <c r="U6" s="347"/>
      <c r="V6" s="1412" t="s">
        <v>36</v>
      </c>
      <c r="W6" s="348"/>
      <c r="X6" s="349" t="s">
        <v>69</v>
      </c>
      <c r="Y6" s="350"/>
      <c r="Z6" s="124" t="s">
        <v>89</v>
      </c>
      <c r="AA6" s="348"/>
      <c r="AB6" s="1412" t="s">
        <v>670</v>
      </c>
      <c r="AC6" s="350"/>
      <c r="AD6" s="1413" t="s">
        <v>671</v>
      </c>
      <c r="AE6" s="371"/>
      <c r="AF6" s="1413" t="s">
        <v>672</v>
      </c>
      <c r="AG6" s="350"/>
      <c r="AH6" s="1413" t="s">
        <v>673</v>
      </c>
      <c r="AI6" s="350"/>
      <c r="AJ6" s="24"/>
      <c r="AK6" s="1414"/>
      <c r="AL6" s="72"/>
    </row>
    <row r="7" spans="2:39" ht="90">
      <c r="B7" s="351" t="s">
        <v>674</v>
      </c>
      <c r="C7" s="352">
        <f>SUM(G8:G19)</f>
        <v>80129000000</v>
      </c>
      <c r="D7" s="344"/>
      <c r="E7" s="124"/>
      <c r="F7" s="124"/>
      <c r="G7" s="353"/>
      <c r="H7" s="193"/>
      <c r="I7" s="193"/>
      <c r="J7" s="193"/>
      <c r="K7" s="205"/>
      <c r="L7" s="205"/>
      <c r="M7" s="205"/>
      <c r="N7" s="205"/>
      <c r="O7" s="205"/>
      <c r="P7" s="1077"/>
      <c r="Q7" s="205"/>
      <c r="R7" s="346"/>
      <c r="S7" s="205"/>
      <c r="T7" s="124"/>
      <c r="U7" s="347"/>
      <c r="V7" s="1412"/>
      <c r="W7" s="348"/>
      <c r="X7" s="349"/>
      <c r="Y7" s="350"/>
      <c r="Z7" s="124"/>
      <c r="AA7" s="348"/>
      <c r="AB7" s="1412"/>
      <c r="AC7" s="350"/>
      <c r="AD7" s="1413"/>
      <c r="AE7" s="371"/>
      <c r="AF7" s="1413"/>
      <c r="AG7" s="350"/>
      <c r="AH7" s="1413"/>
      <c r="AI7" s="350"/>
      <c r="AJ7" s="24"/>
      <c r="AK7" s="1414"/>
      <c r="AL7" s="72"/>
    </row>
    <row r="8" spans="2:39">
      <c r="B8" s="354"/>
      <c r="C8" s="355"/>
      <c r="D8" s="1661" t="s">
        <v>675</v>
      </c>
      <c r="E8" s="124"/>
      <c r="F8" s="1669" t="s">
        <v>3146</v>
      </c>
      <c r="G8" s="357">
        <v>22246000000</v>
      </c>
      <c r="H8" s="193" t="s">
        <v>676</v>
      </c>
      <c r="I8" s="193" t="s">
        <v>677</v>
      </c>
      <c r="J8" s="193" t="s">
        <v>677</v>
      </c>
      <c r="K8" s="205" t="s">
        <v>677</v>
      </c>
      <c r="L8" s="205" t="s">
        <v>50</v>
      </c>
      <c r="M8" s="205">
        <f>+$G$9*0.1</f>
        <v>0</v>
      </c>
      <c r="N8" s="205" t="s">
        <v>4</v>
      </c>
      <c r="O8" s="205">
        <f>+$G$9*0.1</f>
        <v>0</v>
      </c>
      <c r="P8" s="1077" t="s">
        <v>5</v>
      </c>
      <c r="Q8" s="205">
        <f>+$G$9*0.1</f>
        <v>0</v>
      </c>
      <c r="R8" s="346" t="s">
        <v>6</v>
      </c>
      <c r="S8" s="205">
        <f>+$G$9*0.15</f>
        <v>0</v>
      </c>
      <c r="T8" s="124" t="s">
        <v>13</v>
      </c>
      <c r="U8" s="205">
        <f>+$G$9*0.15</f>
        <v>0</v>
      </c>
      <c r="V8" s="1412" t="s">
        <v>36</v>
      </c>
      <c r="W8" s="205">
        <f>+$G$9*0.15</f>
        <v>0</v>
      </c>
      <c r="X8" s="349" t="s">
        <v>69</v>
      </c>
      <c r="Y8" s="205">
        <f>+$G$9*0.15</f>
        <v>0</v>
      </c>
      <c r="Z8" s="124" t="s">
        <v>89</v>
      </c>
      <c r="AA8" s="205">
        <f>+$G$9*0.05</f>
        <v>0</v>
      </c>
      <c r="AB8" s="1415">
        <v>42271</v>
      </c>
      <c r="AC8" s="1416">
        <v>2029735941</v>
      </c>
      <c r="AD8" s="1417">
        <v>42304</v>
      </c>
      <c r="AE8" s="1418">
        <v>529678685</v>
      </c>
      <c r="AF8" s="1417"/>
      <c r="AG8" s="371"/>
      <c r="AH8" s="1419">
        <v>42341</v>
      </c>
      <c r="AI8" s="1420">
        <v>2091097211</v>
      </c>
      <c r="AJ8" s="1672">
        <f>AC8+AE8+AE9+AE10+AI8+AI9+AI10</f>
        <v>9010448177</v>
      </c>
      <c r="AK8" s="1675">
        <v>1</v>
      </c>
      <c r="AL8" s="1421"/>
      <c r="AM8" s="1541">
        <v>1</v>
      </c>
    </row>
    <row r="9" spans="2:39">
      <c r="B9" s="354"/>
      <c r="C9" s="355"/>
      <c r="D9" s="1662"/>
      <c r="E9" s="124"/>
      <c r="F9" s="1670"/>
      <c r="G9" s="357"/>
      <c r="H9" s="193"/>
      <c r="I9" s="193"/>
      <c r="J9" s="193"/>
      <c r="K9" s="205"/>
      <c r="L9" s="205"/>
      <c r="M9" s="205"/>
      <c r="N9" s="205"/>
      <c r="O9" s="205"/>
      <c r="P9" s="1077"/>
      <c r="Q9" s="205"/>
      <c r="R9" s="346"/>
      <c r="S9" s="205"/>
      <c r="T9" s="124"/>
      <c r="U9" s="205"/>
      <c r="V9" s="1412"/>
      <c r="W9" s="205"/>
      <c r="X9" s="349"/>
      <c r="Y9" s="205"/>
      <c r="Z9" s="124"/>
      <c r="AA9" s="205"/>
      <c r="AB9" s="1415"/>
      <c r="AC9" s="1422"/>
      <c r="AD9" s="1417">
        <v>42304</v>
      </c>
      <c r="AE9" s="1418">
        <v>1434255931</v>
      </c>
      <c r="AF9" s="1417"/>
      <c r="AG9" s="350"/>
      <c r="AH9" s="1419">
        <v>42341</v>
      </c>
      <c r="AI9" s="1420">
        <v>2010817773</v>
      </c>
      <c r="AJ9" s="1673"/>
      <c r="AK9" s="1676"/>
      <c r="AL9" s="1421"/>
      <c r="AM9" s="1541"/>
    </row>
    <row r="10" spans="2:39">
      <c r="B10" s="354"/>
      <c r="C10" s="355"/>
      <c r="D10" s="1663"/>
      <c r="E10" s="124"/>
      <c r="F10" s="1671"/>
      <c r="G10" s="357"/>
      <c r="H10" s="193"/>
      <c r="I10" s="193"/>
      <c r="J10" s="193"/>
      <c r="K10" s="205"/>
      <c r="L10" s="205"/>
      <c r="M10" s="205"/>
      <c r="N10" s="205"/>
      <c r="O10" s="205"/>
      <c r="P10" s="1077"/>
      <c r="Q10" s="205"/>
      <c r="R10" s="346"/>
      <c r="S10" s="205"/>
      <c r="T10" s="124"/>
      <c r="U10" s="205"/>
      <c r="V10" s="1412"/>
      <c r="W10" s="205"/>
      <c r="X10" s="349"/>
      <c r="Y10" s="205"/>
      <c r="Z10" s="124"/>
      <c r="AA10" s="205"/>
      <c r="AB10" s="1415"/>
      <c r="AC10" s="205"/>
      <c r="AD10" s="1417">
        <v>42304</v>
      </c>
      <c r="AE10" s="1418">
        <v>511334</v>
      </c>
      <c r="AF10" s="1417"/>
      <c r="AG10" s="350"/>
      <c r="AH10" s="1419">
        <v>42341</v>
      </c>
      <c r="AI10" s="1420">
        <v>914351302</v>
      </c>
      <c r="AJ10" s="1674"/>
      <c r="AK10" s="1677"/>
      <c r="AL10" s="1421"/>
      <c r="AM10" s="1541"/>
    </row>
    <row r="11" spans="2:39">
      <c r="B11" s="354"/>
      <c r="C11" s="355"/>
      <c r="D11" s="1399"/>
      <c r="E11" s="124"/>
      <c r="F11" s="1398"/>
      <c r="G11" s="357"/>
      <c r="H11" s="193"/>
      <c r="I11" s="193"/>
      <c r="J11" s="193"/>
      <c r="K11" s="205"/>
      <c r="L11" s="205"/>
      <c r="M11" s="205"/>
      <c r="N11" s="205"/>
      <c r="O11" s="205"/>
      <c r="P11" s="1077"/>
      <c r="Q11" s="205"/>
      <c r="R11" s="346"/>
      <c r="S11" s="205"/>
      <c r="T11" s="124"/>
      <c r="U11" s="205"/>
      <c r="V11" s="1412"/>
      <c r="W11" s="205"/>
      <c r="X11" s="349"/>
      <c r="Y11" s="205"/>
      <c r="Z11" s="124"/>
      <c r="AA11" s="205"/>
      <c r="AB11" s="1415"/>
      <c r="AC11" s="205"/>
      <c r="AD11" s="1417"/>
      <c r="AE11" s="1418"/>
      <c r="AF11" s="1417"/>
      <c r="AG11" s="350"/>
      <c r="AH11" s="1423">
        <v>42369</v>
      </c>
      <c r="AI11" s="1420">
        <v>538170502</v>
      </c>
      <c r="AJ11" s="1672">
        <f>AI11+AI12</f>
        <v>6696552711</v>
      </c>
      <c r="AK11" s="1424"/>
      <c r="AL11" s="1421"/>
      <c r="AM11" s="1541"/>
    </row>
    <row r="12" spans="2:39">
      <c r="B12" s="354"/>
      <c r="C12" s="355"/>
      <c r="D12" s="1399"/>
      <c r="E12" s="124"/>
      <c r="F12" s="1398"/>
      <c r="G12" s="357"/>
      <c r="H12" s="193"/>
      <c r="I12" s="193"/>
      <c r="J12" s="193"/>
      <c r="K12" s="205"/>
      <c r="L12" s="205"/>
      <c r="M12" s="205"/>
      <c r="N12" s="205"/>
      <c r="O12" s="205"/>
      <c r="P12" s="1077"/>
      <c r="Q12" s="205"/>
      <c r="R12" s="346"/>
      <c r="S12" s="205"/>
      <c r="T12" s="124"/>
      <c r="U12" s="205"/>
      <c r="V12" s="1412"/>
      <c r="W12" s="205"/>
      <c r="X12" s="349"/>
      <c r="Y12" s="205"/>
      <c r="Z12" s="124"/>
      <c r="AA12" s="205"/>
      <c r="AB12" s="1415"/>
      <c r="AC12" s="205"/>
      <c r="AD12" s="1417"/>
      <c r="AE12" s="1418"/>
      <c r="AF12" s="1417"/>
      <c r="AG12" s="350"/>
      <c r="AH12" s="1423">
        <v>42369</v>
      </c>
      <c r="AI12" s="1420">
        <v>6158382209</v>
      </c>
      <c r="AJ12" s="1674"/>
      <c r="AK12" s="1424"/>
      <c r="AL12" s="1421"/>
      <c r="AM12" s="1541"/>
    </row>
    <row r="13" spans="2:39" ht="135">
      <c r="B13" s="354"/>
      <c r="C13" s="355"/>
      <c r="D13" s="344" t="s">
        <v>675</v>
      </c>
      <c r="E13" s="124"/>
      <c r="F13" s="356" t="s">
        <v>678</v>
      </c>
      <c r="G13" s="357">
        <v>2755000000</v>
      </c>
      <c r="H13" s="193" t="s">
        <v>676</v>
      </c>
      <c r="I13" s="193" t="s">
        <v>677</v>
      </c>
      <c r="J13" s="193" t="s">
        <v>677</v>
      </c>
      <c r="K13" s="205" t="s">
        <v>677</v>
      </c>
      <c r="L13" s="205" t="s">
        <v>50</v>
      </c>
      <c r="M13" s="205">
        <f>+$G$14*0.1</f>
        <v>0</v>
      </c>
      <c r="N13" s="205" t="s">
        <v>4</v>
      </c>
      <c r="O13" s="205">
        <f>+$G$14*0.2</f>
        <v>0</v>
      </c>
      <c r="P13" s="1077" t="s">
        <v>5</v>
      </c>
      <c r="Q13" s="358">
        <f>+$G$14*0.1</f>
        <v>0</v>
      </c>
      <c r="R13" s="346" t="s">
        <v>6</v>
      </c>
      <c r="S13" s="205">
        <f>+$G$14*0.15</f>
        <v>0</v>
      </c>
      <c r="T13" s="124" t="s">
        <v>13</v>
      </c>
      <c r="U13" s="205">
        <f>+$G$14*0.1</f>
        <v>0</v>
      </c>
      <c r="V13" s="1412" t="s">
        <v>36</v>
      </c>
      <c r="W13" s="205">
        <f>+$G$14*0.15</f>
        <v>0</v>
      </c>
      <c r="X13" s="349" t="s">
        <v>69</v>
      </c>
      <c r="Y13" s="205">
        <f>+$G$14*0.1</f>
        <v>0</v>
      </c>
      <c r="Z13" s="124" t="s">
        <v>89</v>
      </c>
      <c r="AA13" s="205">
        <f>+$G$14*0.05</f>
        <v>0</v>
      </c>
      <c r="AB13" s="1412" t="s">
        <v>670</v>
      </c>
      <c r="AC13" s="205">
        <f>+$G$14*0.05</f>
        <v>0</v>
      </c>
      <c r="AD13" s="1413"/>
      <c r="AE13" s="371"/>
      <c r="AF13" s="1417">
        <v>42325</v>
      </c>
      <c r="AG13" s="371">
        <v>456598040</v>
      </c>
      <c r="AH13" s="1413"/>
      <c r="AI13" s="359"/>
      <c r="AJ13" s="1678">
        <f>AG13+AI14+AI15</f>
        <v>1369794120</v>
      </c>
      <c r="AK13" s="1675">
        <v>1</v>
      </c>
      <c r="AL13" s="72"/>
      <c r="AM13" s="1541"/>
    </row>
    <row r="14" spans="2:39">
      <c r="B14" s="354"/>
      <c r="C14" s="355"/>
      <c r="D14" s="344"/>
      <c r="E14" s="124"/>
      <c r="F14" s="356"/>
      <c r="G14" s="357"/>
      <c r="H14" s="193"/>
      <c r="I14" s="193"/>
      <c r="J14" s="193"/>
      <c r="K14" s="205"/>
      <c r="L14" s="205"/>
      <c r="M14" s="205"/>
      <c r="N14" s="205"/>
      <c r="O14" s="205"/>
      <c r="P14" s="1077"/>
      <c r="Q14" s="358"/>
      <c r="R14" s="346"/>
      <c r="S14" s="205"/>
      <c r="T14" s="124"/>
      <c r="U14" s="205"/>
      <c r="V14" s="1412"/>
      <c r="W14" s="205"/>
      <c r="X14" s="349"/>
      <c r="Y14" s="205"/>
      <c r="Z14" s="124"/>
      <c r="AA14" s="205"/>
      <c r="AB14" s="1412"/>
      <c r="AC14" s="205"/>
      <c r="AD14" s="1413"/>
      <c r="AE14" s="371"/>
      <c r="AF14" s="1417"/>
      <c r="AG14" s="371"/>
      <c r="AH14" s="1417">
        <v>42341</v>
      </c>
      <c r="AI14" s="359">
        <v>456598040</v>
      </c>
      <c r="AJ14" s="1679"/>
      <c r="AK14" s="1676"/>
      <c r="AL14" s="72"/>
      <c r="AM14" s="1541"/>
    </row>
    <row r="15" spans="2:39">
      <c r="B15" s="354"/>
      <c r="C15" s="355"/>
      <c r="D15" s="344"/>
      <c r="E15" s="124"/>
      <c r="F15" s="356"/>
      <c r="G15" s="357"/>
      <c r="H15" s="193"/>
      <c r="I15" s="193"/>
      <c r="J15" s="193"/>
      <c r="K15" s="205"/>
      <c r="L15" s="205"/>
      <c r="M15" s="205"/>
      <c r="N15" s="205"/>
      <c r="O15" s="205"/>
      <c r="P15" s="1077"/>
      <c r="Q15" s="358"/>
      <c r="R15" s="346"/>
      <c r="S15" s="205"/>
      <c r="T15" s="124"/>
      <c r="U15" s="205"/>
      <c r="V15" s="1412"/>
      <c r="W15" s="205"/>
      <c r="X15" s="349"/>
      <c r="Y15" s="205"/>
      <c r="Z15" s="124"/>
      <c r="AA15" s="205"/>
      <c r="AB15" s="1412"/>
      <c r="AC15" s="205"/>
      <c r="AD15" s="1413"/>
      <c r="AE15" s="371"/>
      <c r="AF15" s="1417"/>
      <c r="AG15" s="371"/>
      <c r="AH15" s="1417">
        <v>42369</v>
      </c>
      <c r="AI15" s="359">
        <v>456598040</v>
      </c>
      <c r="AJ15" s="1679"/>
      <c r="AK15" s="1677"/>
      <c r="AL15" s="72"/>
      <c r="AM15" s="1541"/>
    </row>
    <row r="16" spans="2:39">
      <c r="B16" s="354"/>
      <c r="C16" s="355"/>
      <c r="D16" s="344"/>
      <c r="E16" s="124"/>
      <c r="F16" s="356"/>
      <c r="G16" s="357"/>
      <c r="H16" s="193"/>
      <c r="I16" s="193"/>
      <c r="J16" s="193"/>
      <c r="K16" s="205"/>
      <c r="L16" s="205"/>
      <c r="M16" s="205"/>
      <c r="N16" s="205"/>
      <c r="O16" s="205"/>
      <c r="P16" s="1077"/>
      <c r="Q16" s="358"/>
      <c r="R16" s="346"/>
      <c r="S16" s="205"/>
      <c r="T16" s="124"/>
      <c r="U16" s="205"/>
      <c r="V16" s="1412"/>
      <c r="W16" s="205"/>
      <c r="X16" s="349"/>
      <c r="Y16" s="205"/>
      <c r="Z16" s="124"/>
      <c r="AA16" s="205"/>
      <c r="AB16" s="1412"/>
      <c r="AC16" s="205"/>
      <c r="AD16" s="1413"/>
      <c r="AE16" s="371"/>
      <c r="AF16" s="1417"/>
      <c r="AG16" s="371"/>
      <c r="AH16" s="1417"/>
      <c r="AI16" s="359"/>
      <c r="AJ16" s="1425"/>
      <c r="AK16" s="1426"/>
      <c r="AL16" s="72"/>
      <c r="AM16" s="1541"/>
    </row>
    <row r="17" spans="2:39">
      <c r="B17" s="1427"/>
      <c r="C17" s="1428"/>
      <c r="D17" s="1429"/>
      <c r="E17" s="1412"/>
      <c r="F17" s="1430"/>
      <c r="G17" s="1431"/>
      <c r="H17" s="1432"/>
      <c r="I17" s="1432"/>
      <c r="J17" s="1432"/>
      <c r="K17" s="346"/>
      <c r="L17" s="346"/>
      <c r="M17" s="346"/>
      <c r="N17" s="346"/>
      <c r="O17" s="346"/>
      <c r="P17" s="346"/>
      <c r="Q17" s="346"/>
      <c r="R17" s="346"/>
      <c r="S17" s="346"/>
      <c r="T17" s="1412"/>
      <c r="U17" s="346"/>
      <c r="V17" s="1412"/>
      <c r="W17" s="346"/>
      <c r="X17" s="1413"/>
      <c r="Y17" s="346"/>
      <c r="Z17" s="1412"/>
      <c r="AA17" s="346"/>
      <c r="AB17" s="1412"/>
      <c r="AC17" s="346"/>
      <c r="AD17" s="1413"/>
      <c r="AE17" s="1433"/>
      <c r="AF17" s="1417"/>
      <c r="AG17" s="1433"/>
      <c r="AH17" s="1417"/>
      <c r="AI17" s="1434"/>
      <c r="AJ17" s="1435"/>
      <c r="AK17" s="1436"/>
      <c r="AL17" s="1003"/>
    </row>
    <row r="18" spans="2:39" ht="112.5">
      <c r="B18" s="354"/>
      <c r="C18" s="355"/>
      <c r="D18" s="344" t="s">
        <v>675</v>
      </c>
      <c r="E18" s="124"/>
      <c r="F18" s="356" t="s">
        <v>679</v>
      </c>
      <c r="G18" s="357">
        <v>51045000000</v>
      </c>
      <c r="H18" s="193" t="s">
        <v>676</v>
      </c>
      <c r="I18" s="193" t="s">
        <v>677</v>
      </c>
      <c r="J18" s="193" t="s">
        <v>677</v>
      </c>
      <c r="K18" s="205" t="s">
        <v>677</v>
      </c>
      <c r="L18" s="205" t="s">
        <v>50</v>
      </c>
      <c r="M18" s="205">
        <f>+$G$19*0.1</f>
        <v>408300000</v>
      </c>
      <c r="N18" s="205" t="s">
        <v>4</v>
      </c>
      <c r="O18" s="205">
        <f>+$G$19*0.1</f>
        <v>408300000</v>
      </c>
      <c r="P18" s="1077" t="s">
        <v>5</v>
      </c>
      <c r="Q18" s="205">
        <f>+$G$19*0.05</f>
        <v>204150000</v>
      </c>
      <c r="R18" s="346" t="s">
        <v>6</v>
      </c>
      <c r="S18" s="205">
        <f>+$G$19*0.1</f>
        <v>408300000</v>
      </c>
      <c r="T18" s="124" t="s">
        <v>13</v>
      </c>
      <c r="U18" s="205">
        <f>+$G$19*0.1</f>
        <v>408300000</v>
      </c>
      <c r="V18" s="1412" t="s">
        <v>36</v>
      </c>
      <c r="W18" s="205">
        <f>+$G$19*0.15</f>
        <v>612450000</v>
      </c>
      <c r="X18" s="349" t="s">
        <v>69</v>
      </c>
      <c r="Y18" s="205">
        <f>+$G$19*0.05</f>
        <v>204150000</v>
      </c>
      <c r="Z18" s="124" t="s">
        <v>89</v>
      </c>
      <c r="AA18" s="205">
        <f>+$G$19*0.1</f>
        <v>408300000</v>
      </c>
      <c r="AB18" s="1412" t="s">
        <v>670</v>
      </c>
      <c r="AC18" s="205"/>
      <c r="AD18" s="1413" t="s">
        <v>671</v>
      </c>
      <c r="AE18" s="385">
        <f>+$G$19*0.1</f>
        <v>408300000</v>
      </c>
      <c r="AF18" s="1413" t="s">
        <v>672</v>
      </c>
      <c r="AG18" s="205">
        <f>+$G$19*0.05</f>
        <v>204150000</v>
      </c>
      <c r="AH18" s="1413" t="s">
        <v>673</v>
      </c>
      <c r="AI18" s="205">
        <f>+$G$21*0.05</f>
        <v>0</v>
      </c>
      <c r="AJ18" s="1437">
        <f t="shared" ref="AJ18:AJ19" si="0">SUM(AI18+AE18+AC18+AG18+AA18+Y18+W18+U18+S18+Q18+O18+M18)</f>
        <v>3674700000</v>
      </c>
      <c r="AK18" s="1357">
        <v>0.41</v>
      </c>
      <c r="AL18" s="1421" t="s">
        <v>3147</v>
      </c>
      <c r="AM18" s="1541">
        <v>0.41</v>
      </c>
    </row>
    <row r="19" spans="2:39" ht="146.25">
      <c r="B19" s="354"/>
      <c r="C19" s="355"/>
      <c r="D19" s="344" t="s">
        <v>675</v>
      </c>
      <c r="E19" s="359"/>
      <c r="F19" s="356" t="s">
        <v>680</v>
      </c>
      <c r="G19" s="357">
        <v>4083000000</v>
      </c>
      <c r="H19" s="193" t="s">
        <v>676</v>
      </c>
      <c r="I19" s="193" t="s">
        <v>677</v>
      </c>
      <c r="J19" s="193" t="s">
        <v>677</v>
      </c>
      <c r="K19" s="205" t="s">
        <v>677</v>
      </c>
      <c r="L19" s="205" t="s">
        <v>50</v>
      </c>
      <c r="M19" s="205">
        <f>+$G$20*0.05</f>
        <v>0</v>
      </c>
      <c r="N19" s="205" t="s">
        <v>4</v>
      </c>
      <c r="O19" s="205">
        <f>+$G$20*0.1</f>
        <v>0</v>
      </c>
      <c r="P19" s="1077" t="s">
        <v>5</v>
      </c>
      <c r="Q19" s="205">
        <f>+$G$20*0.05</f>
        <v>0</v>
      </c>
      <c r="R19" s="346" t="s">
        <v>6</v>
      </c>
      <c r="S19" s="205">
        <f>+$G$20*0.05</f>
        <v>0</v>
      </c>
      <c r="T19" s="124" t="s">
        <v>13</v>
      </c>
      <c r="U19" s="205">
        <f>+$G$20*0.1</f>
        <v>0</v>
      </c>
      <c r="V19" s="1412" t="s">
        <v>36</v>
      </c>
      <c r="W19" s="205">
        <f>+$G$20*0.1</f>
        <v>0</v>
      </c>
      <c r="X19" s="349" t="s">
        <v>69</v>
      </c>
      <c r="Y19" s="205">
        <f>+$G$20*0.05</f>
        <v>0</v>
      </c>
      <c r="Z19" s="124" t="s">
        <v>89</v>
      </c>
      <c r="AA19" s="205">
        <f>+$G$20*0.1</f>
        <v>0</v>
      </c>
      <c r="AB19" s="1412" t="s">
        <v>670</v>
      </c>
      <c r="AC19" s="205"/>
      <c r="AD19" s="1413" t="s">
        <v>671</v>
      </c>
      <c r="AE19" s="385">
        <f>+$G$20*0.1</f>
        <v>0</v>
      </c>
      <c r="AF19" s="1413" t="s">
        <v>672</v>
      </c>
      <c r="AG19" s="205">
        <f>+$G$20*0.1</f>
        <v>0</v>
      </c>
      <c r="AH19" s="1413" t="s">
        <v>673</v>
      </c>
      <c r="AI19" s="205">
        <f>+$G$20*0.05</f>
        <v>0</v>
      </c>
      <c r="AJ19" s="1437">
        <f t="shared" si="0"/>
        <v>0</v>
      </c>
      <c r="AK19" s="1357">
        <v>0.41</v>
      </c>
      <c r="AL19" s="1421" t="s">
        <v>3148</v>
      </c>
      <c r="AM19" s="1541"/>
    </row>
    <row r="20" spans="2:39">
      <c r="B20" s="354"/>
      <c r="C20" s="355"/>
      <c r="D20" s="344"/>
      <c r="E20" s="359"/>
      <c r="F20" s="124"/>
      <c r="G20" s="345"/>
      <c r="H20" s="193"/>
      <c r="I20" s="205"/>
      <c r="J20" s="193"/>
      <c r="K20" s="205"/>
      <c r="L20" s="205"/>
      <c r="M20" s="205"/>
      <c r="N20" s="205"/>
      <c r="O20" s="205"/>
      <c r="P20" s="1077"/>
      <c r="Q20" s="205"/>
      <c r="R20" s="346"/>
      <c r="S20" s="205"/>
      <c r="T20" s="124"/>
      <c r="U20" s="347"/>
      <c r="V20" s="1412"/>
      <c r="W20" s="348"/>
      <c r="X20" s="349"/>
      <c r="Y20" s="350"/>
      <c r="Z20" s="124"/>
      <c r="AA20" s="348"/>
      <c r="AB20" s="1412"/>
      <c r="AC20" s="350"/>
      <c r="AD20" s="1413"/>
      <c r="AE20" s="371"/>
      <c r="AF20" s="1413"/>
      <c r="AG20" s="350"/>
      <c r="AH20" s="1413"/>
      <c r="AI20" s="350"/>
      <c r="AJ20" s="24"/>
      <c r="AK20" s="1414"/>
      <c r="AL20" s="72"/>
    </row>
    <row r="21" spans="2:39" ht="78.75">
      <c r="B21" s="351" t="s">
        <v>681</v>
      </c>
      <c r="C21" s="352">
        <f>SUM(G23:G66)</f>
        <v>277423000000</v>
      </c>
      <c r="D21" s="360"/>
      <c r="E21" s="361"/>
      <c r="F21" s="124"/>
      <c r="G21" s="353"/>
      <c r="H21" s="353"/>
      <c r="I21" s="205"/>
      <c r="J21" s="193"/>
      <c r="K21" s="205"/>
      <c r="L21" s="205"/>
      <c r="M21" s="205"/>
      <c r="N21" s="205"/>
      <c r="O21" s="205"/>
      <c r="P21" s="1077"/>
      <c r="Q21" s="205"/>
      <c r="R21" s="346"/>
      <c r="S21" s="205"/>
      <c r="T21" s="124"/>
      <c r="U21" s="347"/>
      <c r="V21" s="1412"/>
      <c r="W21" s="348"/>
      <c r="X21" s="349"/>
      <c r="Y21" s="350"/>
      <c r="Z21" s="124"/>
      <c r="AA21" s="348"/>
      <c r="AB21" s="1412"/>
      <c r="AC21" s="350"/>
      <c r="AD21" s="1413"/>
      <c r="AE21" s="371"/>
      <c r="AF21" s="1413"/>
      <c r="AG21" s="350"/>
      <c r="AH21" s="1413"/>
      <c r="AI21" s="350"/>
      <c r="AJ21" s="24"/>
      <c r="AK21" s="1414"/>
      <c r="AL21" s="72"/>
    </row>
    <row r="22" spans="2:39">
      <c r="B22" s="362" t="s">
        <v>676</v>
      </c>
      <c r="C22" s="363"/>
      <c r="D22" s="344"/>
      <c r="E22" s="124"/>
      <c r="F22" s="124"/>
      <c r="G22" s="345"/>
      <c r="H22" s="193"/>
      <c r="I22" s="205"/>
      <c r="J22" s="193"/>
      <c r="K22" s="205"/>
      <c r="L22" s="205"/>
      <c r="M22" s="205"/>
      <c r="N22" s="205"/>
      <c r="O22" s="205"/>
      <c r="P22" s="1077"/>
      <c r="Q22" s="205"/>
      <c r="R22" s="346"/>
      <c r="S22" s="205"/>
      <c r="T22" s="124"/>
      <c r="U22" s="347"/>
      <c r="V22" s="1412"/>
      <c r="W22" s="348"/>
      <c r="X22" s="349"/>
      <c r="Y22" s="350"/>
      <c r="Z22" s="124"/>
      <c r="AA22" s="348"/>
      <c r="AB22" s="1412"/>
      <c r="AC22" s="350"/>
      <c r="AD22" s="1413"/>
      <c r="AE22" s="371"/>
      <c r="AF22" s="1413"/>
      <c r="AG22" s="350"/>
      <c r="AH22" s="1413"/>
      <c r="AI22" s="350"/>
      <c r="AJ22" s="24"/>
      <c r="AK22" s="1414"/>
      <c r="AL22" s="72"/>
    </row>
    <row r="23" spans="2:39" ht="157.5">
      <c r="B23" s="364"/>
      <c r="C23" s="365"/>
      <c r="D23" s="344" t="s">
        <v>107</v>
      </c>
      <c r="E23" s="124"/>
      <c r="F23" s="356" t="s">
        <v>682</v>
      </c>
      <c r="G23" s="366">
        <v>63617647200</v>
      </c>
      <c r="H23" s="193" t="s">
        <v>676</v>
      </c>
      <c r="I23" s="205" t="s">
        <v>677</v>
      </c>
      <c r="J23" s="193" t="s">
        <v>677</v>
      </c>
      <c r="K23" s="205" t="s">
        <v>677</v>
      </c>
      <c r="L23" s="205"/>
      <c r="M23" s="205"/>
      <c r="N23" s="205"/>
      <c r="O23" s="205"/>
      <c r="P23" s="1077"/>
      <c r="Q23" s="205"/>
      <c r="R23" s="346"/>
      <c r="S23" s="205"/>
      <c r="T23" s="124"/>
      <c r="U23" s="347"/>
      <c r="V23" s="1412"/>
      <c r="W23" s="348"/>
      <c r="X23" s="349"/>
      <c r="Y23" s="350"/>
      <c r="Z23" s="124"/>
      <c r="AA23" s="348"/>
      <c r="AB23" s="1412"/>
      <c r="AC23" s="350"/>
      <c r="AD23" s="1413"/>
      <c r="AE23" s="371"/>
      <c r="AF23" s="1413"/>
      <c r="AG23" s="350"/>
      <c r="AH23" s="1413"/>
      <c r="AI23" s="350"/>
      <c r="AJ23" s="1438">
        <v>62217776902</v>
      </c>
      <c r="AK23" s="1414"/>
      <c r="AL23" s="1439" t="s">
        <v>683</v>
      </c>
    </row>
    <row r="24" spans="2:39">
      <c r="B24" s="362"/>
      <c r="C24" s="365"/>
      <c r="D24" s="344"/>
      <c r="E24" s="124"/>
      <c r="F24" s="124"/>
      <c r="G24" s="366"/>
      <c r="H24" s="193"/>
      <c r="I24" s="193"/>
      <c r="J24" s="193"/>
      <c r="K24" s="205"/>
      <c r="L24" s="205"/>
      <c r="M24" s="205"/>
      <c r="N24" s="205"/>
      <c r="O24" s="205"/>
      <c r="P24" s="1077"/>
      <c r="Q24" s="205"/>
      <c r="R24" s="346"/>
      <c r="S24" s="205"/>
      <c r="T24" s="124"/>
      <c r="U24" s="347"/>
      <c r="V24" s="1412"/>
      <c r="W24" s="348"/>
      <c r="X24" s="349"/>
      <c r="Y24" s="350"/>
      <c r="Z24" s="124"/>
      <c r="AA24" s="348"/>
      <c r="AB24" s="1412"/>
      <c r="AC24" s="350"/>
      <c r="AD24" s="1413"/>
      <c r="AE24" s="371"/>
      <c r="AF24" s="1413"/>
      <c r="AG24" s="350"/>
      <c r="AH24" s="1413"/>
      <c r="AI24" s="350"/>
      <c r="AJ24" s="24"/>
      <c r="AK24" s="1414"/>
      <c r="AL24" s="72"/>
    </row>
    <row r="25" spans="2:39" ht="247.5">
      <c r="B25" s="364"/>
      <c r="C25" s="365"/>
      <c r="D25" s="344" t="s">
        <v>675</v>
      </c>
      <c r="E25" s="124"/>
      <c r="F25" s="356" t="s">
        <v>684</v>
      </c>
      <c r="G25" s="366">
        <v>14452910000</v>
      </c>
      <c r="H25" s="193" t="s">
        <v>676</v>
      </c>
      <c r="I25" s="193" t="s">
        <v>677</v>
      </c>
      <c r="J25" s="193" t="s">
        <v>677</v>
      </c>
      <c r="K25" s="205" t="s">
        <v>677</v>
      </c>
      <c r="L25" s="205"/>
      <c r="M25" s="205"/>
      <c r="N25" s="205"/>
      <c r="O25" s="205"/>
      <c r="P25" s="1077"/>
      <c r="Q25" s="205"/>
      <c r="R25" s="346"/>
      <c r="S25" s="205"/>
      <c r="T25" s="124"/>
      <c r="U25" s="347"/>
      <c r="V25" s="1412"/>
      <c r="W25" s="348"/>
      <c r="X25" s="349"/>
      <c r="Y25" s="350"/>
      <c r="Z25" s="124"/>
      <c r="AA25" s="348"/>
      <c r="AB25" s="1412"/>
      <c r="AC25" s="350"/>
      <c r="AD25" s="1413"/>
      <c r="AE25" s="371"/>
      <c r="AF25" s="1413"/>
      <c r="AG25" s="350"/>
      <c r="AH25" s="1413"/>
      <c r="AI25" s="350"/>
      <c r="AJ25" s="1438">
        <v>32148554938</v>
      </c>
      <c r="AK25" s="1414"/>
      <c r="AL25" s="1439" t="s">
        <v>683</v>
      </c>
    </row>
    <row r="26" spans="2:39">
      <c r="B26" s="362"/>
      <c r="C26" s="363"/>
      <c r="D26" s="344"/>
      <c r="E26" s="124"/>
      <c r="F26" s="124"/>
      <c r="G26" s="367"/>
      <c r="H26" s="193"/>
      <c r="I26" s="193"/>
      <c r="J26" s="193"/>
      <c r="K26" s="205"/>
      <c r="L26" s="205"/>
      <c r="M26" s="205"/>
      <c r="N26" s="205"/>
      <c r="O26" s="205"/>
      <c r="P26" s="1077"/>
      <c r="Q26" s="205"/>
      <c r="R26" s="346"/>
      <c r="S26" s="205"/>
      <c r="T26" s="124"/>
      <c r="U26" s="347"/>
      <c r="V26" s="1412"/>
      <c r="W26" s="348"/>
      <c r="X26" s="349"/>
      <c r="Y26" s="350"/>
      <c r="Z26" s="124"/>
      <c r="AA26" s="348"/>
      <c r="AB26" s="1412"/>
      <c r="AC26" s="350"/>
      <c r="AD26" s="1413"/>
      <c r="AE26" s="371"/>
      <c r="AF26" s="1413"/>
      <c r="AG26" s="350"/>
      <c r="AH26" s="1413"/>
      <c r="AI26" s="350"/>
      <c r="AJ26" s="24"/>
      <c r="AK26" s="1414"/>
      <c r="AL26" s="72"/>
    </row>
    <row r="27" spans="2:39" ht="101.25">
      <c r="B27" s="364"/>
      <c r="C27" s="355"/>
      <c r="D27" s="344" t="s">
        <v>685</v>
      </c>
      <c r="E27" s="124"/>
      <c r="F27" s="356" t="s">
        <v>686</v>
      </c>
      <c r="G27" s="357">
        <v>36028998593</v>
      </c>
      <c r="H27" s="345" t="s">
        <v>687</v>
      </c>
      <c r="I27" s="193" t="s">
        <v>677</v>
      </c>
      <c r="J27" s="193" t="s">
        <v>677</v>
      </c>
      <c r="K27" s="205" t="s">
        <v>677</v>
      </c>
      <c r="L27" s="205"/>
      <c r="M27" s="205"/>
      <c r="N27" s="205"/>
      <c r="O27" s="205"/>
      <c r="P27" s="1077"/>
      <c r="Q27" s="205"/>
      <c r="R27" s="346"/>
      <c r="S27" s="205"/>
      <c r="T27" s="124" t="s">
        <v>13</v>
      </c>
      <c r="U27" s="347">
        <f>+G27*4%</f>
        <v>1441159943.72</v>
      </c>
      <c r="V27" s="1412" t="s">
        <v>36</v>
      </c>
      <c r="W27" s="347">
        <f>G27*8%</f>
        <v>2882319887.4400001</v>
      </c>
      <c r="X27" s="368" t="s">
        <v>69</v>
      </c>
      <c r="Y27" s="347">
        <f>G27*15%</f>
        <v>5404349788.9499998</v>
      </c>
      <c r="Z27" s="124" t="s">
        <v>89</v>
      </c>
      <c r="AA27" s="347">
        <f>G27*21%</f>
        <v>7566089704.5299997</v>
      </c>
      <c r="AB27" s="1412" t="s">
        <v>670</v>
      </c>
      <c r="AC27" s="347">
        <f>G27*16%</f>
        <v>5764639774.8800001</v>
      </c>
      <c r="AD27" s="372" t="s">
        <v>671</v>
      </c>
      <c r="AE27" s="1440">
        <f>G27*12%</f>
        <v>4323479831.1599998</v>
      </c>
      <c r="AF27" s="372" t="s">
        <v>672</v>
      </c>
      <c r="AG27" s="347">
        <f>G27*12%</f>
        <v>4323479831.1599998</v>
      </c>
      <c r="AH27" s="372" t="s">
        <v>673</v>
      </c>
      <c r="AI27" s="347">
        <f>G27*12%</f>
        <v>4323479831.1599998</v>
      </c>
      <c r="AJ27" s="1441">
        <f>M27+O27+Q27+S27+U27+W27+Y27+AA27+AC27+AE27+AG27+AI27</f>
        <v>36028998593</v>
      </c>
      <c r="AK27" s="1442">
        <v>0</v>
      </c>
      <c r="AL27" s="1443" t="s">
        <v>3149</v>
      </c>
      <c r="AM27" s="1541">
        <v>0.1</v>
      </c>
    </row>
    <row r="28" spans="2:39" ht="146.25">
      <c r="B28" s="364"/>
      <c r="C28" s="355"/>
      <c r="D28" s="344" t="s">
        <v>685</v>
      </c>
      <c r="E28" s="124"/>
      <c r="F28" s="356" t="s">
        <v>688</v>
      </c>
      <c r="G28" s="357">
        <v>2453280000</v>
      </c>
      <c r="H28" s="345" t="s">
        <v>687</v>
      </c>
      <c r="I28" s="193" t="s">
        <v>677</v>
      </c>
      <c r="J28" s="193" t="s">
        <v>677</v>
      </c>
      <c r="K28" s="205" t="s">
        <v>677</v>
      </c>
      <c r="L28" s="205"/>
      <c r="M28" s="205"/>
      <c r="N28" s="205"/>
      <c r="O28" s="205"/>
      <c r="P28" s="1077"/>
      <c r="Q28" s="205"/>
      <c r="R28" s="346"/>
      <c r="S28" s="205"/>
      <c r="T28" s="124" t="s">
        <v>13</v>
      </c>
      <c r="U28" s="347">
        <f>+G28*4%</f>
        <v>98131200</v>
      </c>
      <c r="V28" s="1412" t="s">
        <v>36</v>
      </c>
      <c r="W28" s="347">
        <f>G28*8%</f>
        <v>196262400</v>
      </c>
      <c r="X28" s="368" t="s">
        <v>69</v>
      </c>
      <c r="Y28" s="347">
        <f>G28*15%</f>
        <v>367992000</v>
      </c>
      <c r="Z28" s="124" t="s">
        <v>89</v>
      </c>
      <c r="AA28" s="347">
        <f>G28*21%</f>
        <v>515188800</v>
      </c>
      <c r="AB28" s="1412" t="s">
        <v>670</v>
      </c>
      <c r="AC28" s="347">
        <f>G28*16%</f>
        <v>392524800</v>
      </c>
      <c r="AD28" s="372" t="s">
        <v>671</v>
      </c>
      <c r="AE28" s="1440">
        <f>G28*12%</f>
        <v>294393600</v>
      </c>
      <c r="AF28" s="372" t="s">
        <v>672</v>
      </c>
      <c r="AG28" s="347">
        <f>G28*12%</f>
        <v>294393600</v>
      </c>
      <c r="AH28" s="372" t="s">
        <v>673</v>
      </c>
      <c r="AI28" s="347">
        <f>G28*12%</f>
        <v>294393600</v>
      </c>
      <c r="AJ28" s="1441">
        <f>M28+O28+Q28+S28+U28+W28+Y28+AA28+AC28+AE28+AG28+AI28</f>
        <v>2453280000</v>
      </c>
      <c r="AK28" s="1444">
        <v>0.2</v>
      </c>
      <c r="AL28" s="72"/>
      <c r="AM28" s="1541"/>
    </row>
    <row r="29" spans="2:39">
      <c r="B29" s="364"/>
      <c r="C29" s="355"/>
      <c r="D29" s="344"/>
      <c r="E29" s="124"/>
      <c r="F29" s="124"/>
      <c r="G29" s="357"/>
      <c r="H29" s="193"/>
      <c r="I29" s="193"/>
      <c r="J29" s="193"/>
      <c r="K29" s="205"/>
      <c r="L29" s="205"/>
      <c r="M29" s="205"/>
      <c r="N29" s="205"/>
      <c r="O29" s="205"/>
      <c r="P29" s="1077"/>
      <c r="Q29" s="205"/>
      <c r="R29" s="346"/>
      <c r="S29" s="205"/>
      <c r="T29" s="124"/>
      <c r="U29" s="347"/>
      <c r="V29" s="1412"/>
      <c r="W29" s="348"/>
      <c r="X29" s="349"/>
      <c r="Y29" s="350"/>
      <c r="Z29" s="124"/>
      <c r="AA29" s="348"/>
      <c r="AB29" s="1412"/>
      <c r="AC29" s="350"/>
      <c r="AD29" s="1413"/>
      <c r="AE29" s="371"/>
      <c r="AF29" s="1413"/>
      <c r="AG29" s="350"/>
      <c r="AH29" s="1413"/>
      <c r="AI29" s="350"/>
      <c r="AJ29" s="1441">
        <f>M29+O29+Q29+S29+U29+W29+Y29+AA29+AC29+AE29+AG29+AI29</f>
        <v>0</v>
      </c>
      <c r="AK29" s="1414"/>
      <c r="AL29" s="72"/>
    </row>
    <row r="30" spans="2:39" ht="101.25">
      <c r="B30" s="364"/>
      <c r="C30" s="355"/>
      <c r="D30" s="370" t="s">
        <v>689</v>
      </c>
      <c r="E30" s="124"/>
      <c r="F30" s="356" t="s">
        <v>690</v>
      </c>
      <c r="G30" s="357">
        <f>910072800+12420833158+1170093600+5714170442+1115830000</f>
        <v>21331000000</v>
      </c>
      <c r="H30" s="345" t="s">
        <v>687</v>
      </c>
      <c r="I30" s="193" t="s">
        <v>677</v>
      </c>
      <c r="J30" s="193" t="s">
        <v>677</v>
      </c>
      <c r="K30" s="205" t="s">
        <v>677</v>
      </c>
      <c r="L30" s="205"/>
      <c r="M30" s="205"/>
      <c r="N30" s="205"/>
      <c r="O30" s="205"/>
      <c r="P30" s="1077"/>
      <c r="Q30" s="205"/>
      <c r="R30" s="346"/>
      <c r="S30" s="205"/>
      <c r="T30" s="124" t="s">
        <v>13</v>
      </c>
      <c r="U30" s="347">
        <f>+G30*2%</f>
        <v>426620000</v>
      </c>
      <c r="V30" s="1412" t="s">
        <v>36</v>
      </c>
      <c r="W30" s="347">
        <f>G30*4%</f>
        <v>853240000</v>
      </c>
      <c r="X30" s="368" t="s">
        <v>69</v>
      </c>
      <c r="Y30" s="347">
        <f>G30*7%</f>
        <v>1493170000.0000002</v>
      </c>
      <c r="Z30" s="124" t="s">
        <v>89</v>
      </c>
      <c r="AA30" s="347">
        <f>G30*10%</f>
        <v>2133100000</v>
      </c>
      <c r="AB30" s="1432" t="s">
        <v>91</v>
      </c>
      <c r="AC30" s="347">
        <f>G30*15%</f>
        <v>3199650000</v>
      </c>
      <c r="AD30" s="1433" t="s">
        <v>70</v>
      </c>
      <c r="AE30" s="1440">
        <f>G30*18%</f>
        <v>3839580000</v>
      </c>
      <c r="AF30" s="1433" t="s">
        <v>90</v>
      </c>
      <c r="AG30" s="347">
        <f>G30*22%</f>
        <v>4692820000</v>
      </c>
      <c r="AH30" s="1432" t="s">
        <v>79</v>
      </c>
      <c r="AI30" s="347">
        <f>G30*22%</f>
        <v>4692820000</v>
      </c>
      <c r="AJ30" s="1441">
        <f>M30+O30+Q30+S30+U30+W30+Y30+AA30+AC30+AE30+AG30+AI30</f>
        <v>21331000000</v>
      </c>
      <c r="AK30" s="1442">
        <v>0</v>
      </c>
      <c r="AL30" s="1445" t="s">
        <v>3150</v>
      </c>
      <c r="AM30" s="1541">
        <v>0</v>
      </c>
    </row>
    <row r="31" spans="2:39" ht="146.25">
      <c r="B31" s="364"/>
      <c r="C31" s="355"/>
      <c r="D31" s="344" t="s">
        <v>689</v>
      </c>
      <c r="E31" s="124"/>
      <c r="F31" s="356" t="s">
        <v>691</v>
      </c>
      <c r="G31" s="357">
        <v>1703000000</v>
      </c>
      <c r="H31" s="345" t="s">
        <v>687</v>
      </c>
      <c r="I31" s="193" t="s">
        <v>677</v>
      </c>
      <c r="J31" s="193" t="s">
        <v>677</v>
      </c>
      <c r="K31" s="205" t="s">
        <v>677</v>
      </c>
      <c r="L31" s="205"/>
      <c r="M31" s="205"/>
      <c r="N31" s="205"/>
      <c r="O31" s="205"/>
      <c r="P31" s="1077"/>
      <c r="Q31" s="205"/>
      <c r="R31" s="346"/>
      <c r="S31" s="205"/>
      <c r="T31" s="124" t="s">
        <v>13</v>
      </c>
      <c r="U31" s="347">
        <f>+G31*2%</f>
        <v>34060000</v>
      </c>
      <c r="V31" s="1412" t="s">
        <v>36</v>
      </c>
      <c r="W31" s="347">
        <f>G31*4%</f>
        <v>68120000</v>
      </c>
      <c r="X31" s="368" t="s">
        <v>69</v>
      </c>
      <c r="Y31" s="347">
        <f>G31*7%</f>
        <v>119210000.00000001</v>
      </c>
      <c r="Z31" s="124" t="s">
        <v>89</v>
      </c>
      <c r="AA31" s="347">
        <f>G31*10%</f>
        <v>170300000</v>
      </c>
      <c r="AB31" s="1432" t="s">
        <v>91</v>
      </c>
      <c r="AC31" s="347">
        <f>G31*15%</f>
        <v>255450000</v>
      </c>
      <c r="AD31" s="1433" t="s">
        <v>70</v>
      </c>
      <c r="AE31" s="1440">
        <f>G31*18%</f>
        <v>306540000</v>
      </c>
      <c r="AF31" s="1433" t="s">
        <v>90</v>
      </c>
      <c r="AG31" s="347">
        <f>G31*22%</f>
        <v>374660000</v>
      </c>
      <c r="AH31" s="1432" t="s">
        <v>79</v>
      </c>
      <c r="AI31" s="347">
        <f>G31*22%</f>
        <v>374660000</v>
      </c>
      <c r="AJ31" s="1441">
        <f>M31+O31+Q31+S31+U31+W31+Y31+AA31+AC31+AE31+AG31+AI31</f>
        <v>1703000000</v>
      </c>
      <c r="AK31" s="1442">
        <v>0</v>
      </c>
      <c r="AL31" s="1445" t="s">
        <v>3150</v>
      </c>
      <c r="AM31" s="1541"/>
    </row>
    <row r="32" spans="2:39">
      <c r="B32" s="364"/>
      <c r="C32" s="355"/>
      <c r="D32" s="344"/>
      <c r="E32" s="124"/>
      <c r="F32" s="124"/>
      <c r="G32" s="357"/>
      <c r="H32" s="193"/>
      <c r="I32" s="193"/>
      <c r="J32" s="193"/>
      <c r="K32" s="205"/>
      <c r="L32" s="205"/>
      <c r="M32" s="205"/>
      <c r="N32" s="205"/>
      <c r="O32" s="205"/>
      <c r="P32" s="1077"/>
      <c r="Q32" s="205"/>
      <c r="R32" s="346"/>
      <c r="S32" s="205"/>
      <c r="T32" s="124"/>
      <c r="U32" s="347"/>
      <c r="V32" s="1412"/>
      <c r="W32" s="348"/>
      <c r="X32" s="349"/>
      <c r="Y32" s="350"/>
      <c r="Z32" s="124"/>
      <c r="AA32" s="348"/>
      <c r="AB32" s="1412"/>
      <c r="AC32" s="350"/>
      <c r="AD32" s="1413"/>
      <c r="AE32" s="371"/>
      <c r="AF32" s="1413"/>
      <c r="AG32" s="350"/>
      <c r="AH32" s="1413"/>
      <c r="AI32" s="350"/>
      <c r="AJ32" s="24"/>
      <c r="AK32" s="1414"/>
      <c r="AL32" s="72"/>
    </row>
    <row r="33" spans="2:39" ht="101.25">
      <c r="B33" s="364"/>
      <c r="C33" s="355"/>
      <c r="D33" s="344" t="s">
        <v>496</v>
      </c>
      <c r="E33" s="124"/>
      <c r="F33" s="356" t="s">
        <v>692</v>
      </c>
      <c r="G33" s="357">
        <f>842660000+9787277837+1083420000+4053909519</f>
        <v>15767267356</v>
      </c>
      <c r="H33" s="345" t="s">
        <v>687</v>
      </c>
      <c r="I33" s="193" t="s">
        <v>677</v>
      </c>
      <c r="J33" s="124"/>
      <c r="K33" s="347"/>
      <c r="L33" s="369"/>
      <c r="M33" s="369"/>
      <c r="N33" s="369"/>
      <c r="O33" s="369"/>
      <c r="P33" s="1446"/>
      <c r="Q33" s="369"/>
      <c r="R33" s="372"/>
      <c r="S33" s="369"/>
      <c r="T33" s="124" t="s">
        <v>13</v>
      </c>
      <c r="U33" s="347">
        <f>G33*3%</f>
        <v>473018020.68000001</v>
      </c>
      <c r="V33" s="1412" t="s">
        <v>36</v>
      </c>
      <c r="W33" s="347">
        <f>G33*4%</f>
        <v>630690694.24000001</v>
      </c>
      <c r="X33" s="368" t="s">
        <v>69</v>
      </c>
      <c r="Y33" s="347">
        <f>G33*9%</f>
        <v>1419054062.04</v>
      </c>
      <c r="Z33" s="124" t="s">
        <v>89</v>
      </c>
      <c r="AA33" s="347">
        <f>G33*11%</f>
        <v>1734399409.1600001</v>
      </c>
      <c r="AB33" s="1412" t="s">
        <v>670</v>
      </c>
      <c r="AC33" s="347">
        <f>G33*13%</f>
        <v>2049744756.28</v>
      </c>
      <c r="AD33" s="1412" t="s">
        <v>671</v>
      </c>
      <c r="AE33" s="1440">
        <f>G33*14%</f>
        <v>2207417429.8400002</v>
      </c>
      <c r="AF33" s="372" t="s">
        <v>672</v>
      </c>
      <c r="AG33" s="347">
        <f>G33*16%</f>
        <v>2522762776.96</v>
      </c>
      <c r="AH33" s="372" t="s">
        <v>673</v>
      </c>
      <c r="AI33" s="347">
        <f>G33*30%</f>
        <v>4730180206.8000002</v>
      </c>
      <c r="AJ33" s="1441">
        <f t="shared" ref="AJ33:AJ37" si="1">M33+O33+Q33+S33+U33+W33+Y33+AA33+AC33+AE33+AG33+AI33</f>
        <v>15767267356</v>
      </c>
      <c r="AK33" s="1447">
        <f>1259459982/G33</f>
        <v>7.9878139538284113E-2</v>
      </c>
      <c r="AL33" s="1443" t="s">
        <v>3151</v>
      </c>
      <c r="AM33" s="1541">
        <v>0.3</v>
      </c>
    </row>
    <row r="34" spans="2:39" ht="146.25">
      <c r="B34" s="364"/>
      <c r="C34" s="355"/>
      <c r="D34" s="344" t="s">
        <v>496</v>
      </c>
      <c r="E34" s="124"/>
      <c r="F34" s="356" t="s">
        <v>693</v>
      </c>
      <c r="G34" s="357">
        <v>1259000000</v>
      </c>
      <c r="H34" s="345" t="s">
        <v>687</v>
      </c>
      <c r="I34" s="193" t="s">
        <v>677</v>
      </c>
      <c r="J34" s="193" t="s">
        <v>677</v>
      </c>
      <c r="K34" s="205" t="s">
        <v>677</v>
      </c>
      <c r="L34" s="205"/>
      <c r="M34" s="205"/>
      <c r="N34" s="205"/>
      <c r="O34" s="205"/>
      <c r="P34" s="1077"/>
      <c r="Q34" s="205"/>
      <c r="R34" s="346"/>
      <c r="S34" s="205"/>
      <c r="T34" s="124" t="s">
        <v>13</v>
      </c>
      <c r="U34" s="347">
        <f>G34*3%</f>
        <v>37770000</v>
      </c>
      <c r="V34" s="1412" t="s">
        <v>36</v>
      </c>
      <c r="W34" s="347">
        <f>G34*4%</f>
        <v>50360000</v>
      </c>
      <c r="X34" s="368" t="s">
        <v>69</v>
      </c>
      <c r="Y34" s="347">
        <f>G34*9%</f>
        <v>113310000</v>
      </c>
      <c r="Z34" s="124" t="s">
        <v>89</v>
      </c>
      <c r="AA34" s="347">
        <f>G34*11%</f>
        <v>138490000</v>
      </c>
      <c r="AB34" s="1412" t="s">
        <v>670</v>
      </c>
      <c r="AC34" s="347">
        <f>G34*13%</f>
        <v>163670000</v>
      </c>
      <c r="AD34" s="1412" t="s">
        <v>671</v>
      </c>
      <c r="AE34" s="1440">
        <f>G34*14%</f>
        <v>176260000.00000003</v>
      </c>
      <c r="AF34" s="372" t="s">
        <v>672</v>
      </c>
      <c r="AG34" s="347">
        <f>G34*16%</f>
        <v>201440000</v>
      </c>
      <c r="AH34" s="372" t="s">
        <v>673</v>
      </c>
      <c r="AI34" s="347">
        <f>G34*30%</f>
        <v>377700000</v>
      </c>
      <c r="AJ34" s="1441">
        <f t="shared" si="1"/>
        <v>1259000000</v>
      </c>
      <c r="AK34" s="1447">
        <v>0.51</v>
      </c>
      <c r="AL34" s="72"/>
      <c r="AM34" s="1541"/>
    </row>
    <row r="35" spans="2:39">
      <c r="B35" s="364"/>
      <c r="C35" s="355"/>
      <c r="D35" s="344"/>
      <c r="E35" s="124"/>
      <c r="F35" s="356"/>
      <c r="G35" s="357"/>
      <c r="H35" s="193"/>
      <c r="I35" s="193"/>
      <c r="J35" s="193"/>
      <c r="K35" s="205"/>
      <c r="L35" s="205"/>
      <c r="M35" s="205"/>
      <c r="N35" s="205"/>
      <c r="O35" s="205"/>
      <c r="P35" s="1077"/>
      <c r="Q35" s="205"/>
      <c r="R35" s="346"/>
      <c r="S35" s="205"/>
      <c r="T35" s="124"/>
      <c r="U35" s="347"/>
      <c r="V35" s="1412"/>
      <c r="W35" s="348"/>
      <c r="X35" s="349"/>
      <c r="Y35" s="350"/>
      <c r="Z35" s="124"/>
      <c r="AA35" s="348"/>
      <c r="AB35" s="1412"/>
      <c r="AC35" s="350"/>
      <c r="AD35" s="1413"/>
      <c r="AE35" s="371"/>
      <c r="AF35" s="1413"/>
      <c r="AG35" s="350"/>
      <c r="AH35" s="1413"/>
      <c r="AI35" s="350"/>
      <c r="AJ35" s="24"/>
      <c r="AK35" s="1414"/>
      <c r="AL35" s="72"/>
    </row>
    <row r="36" spans="2:39" ht="45">
      <c r="B36" s="364"/>
      <c r="C36" s="355"/>
      <c r="D36" s="344" t="s">
        <v>694</v>
      </c>
      <c r="E36" s="124"/>
      <c r="F36" s="356" t="s">
        <v>695</v>
      </c>
      <c r="G36" s="357">
        <v>32710281000</v>
      </c>
      <c r="H36" s="193" t="s">
        <v>6</v>
      </c>
      <c r="I36" s="373" t="s">
        <v>69</v>
      </c>
      <c r="J36" s="193" t="s">
        <v>69</v>
      </c>
      <c r="K36" s="205">
        <f>+G36*0.3</f>
        <v>9813084300</v>
      </c>
      <c r="L36" s="205"/>
      <c r="M36" s="205"/>
      <c r="N36" s="205"/>
      <c r="O36" s="205"/>
      <c r="P36" s="1077"/>
      <c r="Q36" s="205"/>
      <c r="R36" s="346"/>
      <c r="S36" s="205"/>
      <c r="T36" s="193"/>
      <c r="U36" s="347"/>
      <c r="V36" s="1432"/>
      <c r="W36" s="374"/>
      <c r="X36" s="375"/>
      <c r="Y36" s="371"/>
      <c r="Z36" s="344" t="s">
        <v>89</v>
      </c>
      <c r="AA36" s="374">
        <f>G36*73%</f>
        <v>23878505130</v>
      </c>
      <c r="AB36" s="1432" t="s">
        <v>91</v>
      </c>
      <c r="AC36" s="347"/>
      <c r="AD36" s="1433" t="s">
        <v>70</v>
      </c>
      <c r="AE36" s="374">
        <f>+G36*7%</f>
        <v>2289719670</v>
      </c>
      <c r="AF36" s="1433" t="s">
        <v>90</v>
      </c>
      <c r="AG36" s="374">
        <f>+G36*10%</f>
        <v>3271028100</v>
      </c>
      <c r="AH36" s="1432" t="s">
        <v>79</v>
      </c>
      <c r="AI36" s="371">
        <f>+G36*10%</f>
        <v>3271028100</v>
      </c>
      <c r="AJ36" s="1441">
        <f t="shared" si="1"/>
        <v>32710281000</v>
      </c>
      <c r="AK36" s="1442">
        <v>0</v>
      </c>
      <c r="AL36" s="674" t="s">
        <v>3152</v>
      </c>
      <c r="AM36" s="1695">
        <v>0</v>
      </c>
    </row>
    <row r="37" spans="2:39" ht="78.75">
      <c r="B37" s="364"/>
      <c r="C37" s="376"/>
      <c r="D37" s="344" t="s">
        <v>694</v>
      </c>
      <c r="E37" s="124"/>
      <c r="F37" s="356" t="s">
        <v>696</v>
      </c>
      <c r="G37" s="357">
        <v>457945000</v>
      </c>
      <c r="H37" s="193" t="s">
        <v>6</v>
      </c>
      <c r="I37" s="373" t="s">
        <v>69</v>
      </c>
      <c r="J37" s="193" t="s">
        <v>69</v>
      </c>
      <c r="K37" s="205">
        <f>+G37*0.3</f>
        <v>137383500</v>
      </c>
      <c r="L37" s="205"/>
      <c r="M37" s="205"/>
      <c r="N37" s="205"/>
      <c r="O37" s="205"/>
      <c r="P37" s="1077"/>
      <c r="Q37" s="205"/>
      <c r="R37" s="346"/>
      <c r="S37" s="205"/>
      <c r="T37" s="193"/>
      <c r="U37" s="347"/>
      <c r="V37" s="1432"/>
      <c r="W37" s="374"/>
      <c r="X37" s="375"/>
      <c r="Y37" s="371"/>
      <c r="Z37" s="344" t="s">
        <v>89</v>
      </c>
      <c r="AA37" s="374">
        <f>G37*73%</f>
        <v>334299850</v>
      </c>
      <c r="AB37" s="1432" t="s">
        <v>91</v>
      </c>
      <c r="AC37" s="347"/>
      <c r="AD37" s="1433" t="s">
        <v>70</v>
      </c>
      <c r="AE37" s="374">
        <f>+G37*7%</f>
        <v>32056150.000000004</v>
      </c>
      <c r="AF37" s="1433" t="s">
        <v>90</v>
      </c>
      <c r="AG37" s="374">
        <f>+G37*10%</f>
        <v>45794500</v>
      </c>
      <c r="AH37" s="1432" t="s">
        <v>79</v>
      </c>
      <c r="AI37" s="371">
        <f>+G37*10%</f>
        <v>45794500</v>
      </c>
      <c r="AJ37" s="1441">
        <f t="shared" si="1"/>
        <v>457945000</v>
      </c>
      <c r="AK37" s="1442">
        <v>0</v>
      </c>
      <c r="AL37" s="674" t="s">
        <v>3152</v>
      </c>
      <c r="AM37" s="1695"/>
    </row>
    <row r="38" spans="2:39">
      <c r="B38" s="364"/>
      <c r="C38" s="355"/>
      <c r="D38" s="344"/>
      <c r="E38" s="124"/>
      <c r="F38" s="356"/>
      <c r="G38" s="357"/>
      <c r="H38" s="193"/>
      <c r="I38" s="193"/>
      <c r="J38" s="193"/>
      <c r="K38" s="205"/>
      <c r="L38" s="205"/>
      <c r="M38" s="205"/>
      <c r="N38" s="205"/>
      <c r="O38" s="205"/>
      <c r="P38" s="1077"/>
      <c r="Q38" s="205"/>
      <c r="R38" s="346"/>
      <c r="S38" s="205"/>
      <c r="T38" s="124"/>
      <c r="U38" s="347"/>
      <c r="V38" s="1412"/>
      <c r="W38" s="348"/>
      <c r="X38" s="349"/>
      <c r="Y38" s="350"/>
      <c r="Z38" s="124"/>
      <c r="AA38" s="348"/>
      <c r="AB38" s="1412"/>
      <c r="AC38" s="350"/>
      <c r="AD38" s="1413"/>
      <c r="AE38" s="371"/>
      <c r="AF38" s="1413"/>
      <c r="AG38" s="350"/>
      <c r="AH38" s="1413"/>
      <c r="AI38" s="350"/>
      <c r="AJ38" s="24"/>
      <c r="AK38" s="1414"/>
      <c r="AL38" s="72"/>
      <c r="AM38" s="1459"/>
    </row>
    <row r="39" spans="2:39" ht="67.5">
      <c r="B39" s="364"/>
      <c r="C39" s="355"/>
      <c r="D39" s="344" t="s">
        <v>78</v>
      </c>
      <c r="E39" s="124"/>
      <c r="F39" s="356" t="s">
        <v>697</v>
      </c>
      <c r="G39" s="357">
        <f>10553976050+3542023950</f>
        <v>14096000000</v>
      </c>
      <c r="H39" s="345" t="s">
        <v>687</v>
      </c>
      <c r="I39" s="193" t="s">
        <v>677</v>
      </c>
      <c r="J39" s="193" t="s">
        <v>677</v>
      </c>
      <c r="K39" s="205" t="s">
        <v>677</v>
      </c>
      <c r="L39" s="205"/>
      <c r="M39" s="205"/>
      <c r="N39" s="205"/>
      <c r="O39" s="205"/>
      <c r="P39" s="1077"/>
      <c r="Q39" s="205"/>
      <c r="R39" s="346"/>
      <c r="S39" s="205"/>
      <c r="T39" s="124" t="s">
        <v>13</v>
      </c>
      <c r="U39" s="347">
        <f>G39*4%</f>
        <v>563840000</v>
      </c>
      <c r="V39" s="1412" t="s">
        <v>36</v>
      </c>
      <c r="W39" s="347">
        <f>G39*5%</f>
        <v>704800000</v>
      </c>
      <c r="X39" s="349" t="s">
        <v>69</v>
      </c>
      <c r="Y39" s="347">
        <f>G39*10%</f>
        <v>1409600000</v>
      </c>
      <c r="Z39" s="124" t="s">
        <v>89</v>
      </c>
      <c r="AA39" s="347">
        <f>G39*13%</f>
        <v>1832480000</v>
      </c>
      <c r="AB39" s="1432" t="s">
        <v>91</v>
      </c>
      <c r="AC39" s="347">
        <f>G39*15%</f>
        <v>2114400000</v>
      </c>
      <c r="AD39" s="1433" t="s">
        <v>70</v>
      </c>
      <c r="AE39" s="374">
        <f>+G39*15%</f>
        <v>2114400000</v>
      </c>
      <c r="AF39" s="1433" t="s">
        <v>90</v>
      </c>
      <c r="AG39" s="374">
        <f>+G39*12%</f>
        <v>1691520000</v>
      </c>
      <c r="AH39" s="1432" t="s">
        <v>79</v>
      </c>
      <c r="AI39" s="347">
        <f>G39*26%</f>
        <v>3664960000</v>
      </c>
      <c r="AJ39" s="1441">
        <f t="shared" ref="AJ39:AJ40" si="2">M39+O39+Q39+S39+U39+W39+Y39+AA39+AC39+AE39+AG39+AI39</f>
        <v>14096000000</v>
      </c>
      <c r="AK39" s="1442">
        <f>7033238647/G39</f>
        <v>0.49895279845346197</v>
      </c>
      <c r="AL39" s="72"/>
      <c r="AM39" s="1541">
        <v>0.26</v>
      </c>
    </row>
    <row r="40" spans="2:39" ht="90">
      <c r="B40" s="364"/>
      <c r="C40" s="376"/>
      <c r="D40" s="344" t="s">
        <v>78</v>
      </c>
      <c r="E40" s="124"/>
      <c r="F40" s="356" t="s">
        <v>698</v>
      </c>
      <c r="G40" s="357">
        <v>1973000000</v>
      </c>
      <c r="H40" s="345" t="s">
        <v>687</v>
      </c>
      <c r="I40" s="193" t="s">
        <v>677</v>
      </c>
      <c r="J40" s="193" t="s">
        <v>677</v>
      </c>
      <c r="K40" s="205" t="s">
        <v>677</v>
      </c>
      <c r="L40" s="205"/>
      <c r="M40" s="205"/>
      <c r="N40" s="205"/>
      <c r="O40" s="205"/>
      <c r="P40" s="1077"/>
      <c r="Q40" s="205"/>
      <c r="R40" s="346"/>
      <c r="S40" s="205"/>
      <c r="T40" s="124" t="s">
        <v>13</v>
      </c>
      <c r="U40" s="347">
        <f>G40*4%</f>
        <v>78920000</v>
      </c>
      <c r="V40" s="1412" t="s">
        <v>36</v>
      </c>
      <c r="W40" s="347">
        <f>G40*5%</f>
        <v>98650000</v>
      </c>
      <c r="X40" s="349" t="s">
        <v>69</v>
      </c>
      <c r="Y40" s="347">
        <f>G40*10%</f>
        <v>197300000</v>
      </c>
      <c r="Z40" s="124" t="s">
        <v>89</v>
      </c>
      <c r="AA40" s="347">
        <f>G40*13%</f>
        <v>256490000</v>
      </c>
      <c r="AB40" s="1432" t="s">
        <v>91</v>
      </c>
      <c r="AC40" s="347">
        <f>G40*15%</f>
        <v>295950000</v>
      </c>
      <c r="AD40" s="1433" t="s">
        <v>70</v>
      </c>
      <c r="AE40" s="374">
        <f>+G40*15%</f>
        <v>295950000</v>
      </c>
      <c r="AF40" s="1433" t="s">
        <v>90</v>
      </c>
      <c r="AG40" s="374">
        <f>+G40*12%</f>
        <v>236760000</v>
      </c>
      <c r="AH40" s="1432" t="s">
        <v>79</v>
      </c>
      <c r="AI40" s="347">
        <f>G40*26%</f>
        <v>512980000</v>
      </c>
      <c r="AJ40" s="1441">
        <f t="shared" si="2"/>
        <v>1973000000</v>
      </c>
      <c r="AK40" s="1442">
        <f>24569638/G40</f>
        <v>1.2452933603649265E-2</v>
      </c>
      <c r="AL40" s="72"/>
      <c r="AM40" s="1541"/>
    </row>
    <row r="41" spans="2:39">
      <c r="B41" s="364"/>
      <c r="C41" s="355"/>
      <c r="D41" s="344"/>
      <c r="E41" s="124"/>
      <c r="F41" s="356"/>
      <c r="G41" s="357"/>
      <c r="H41" s="193"/>
      <c r="I41" s="193"/>
      <c r="J41" s="193"/>
      <c r="K41" s="205"/>
      <c r="L41" s="205"/>
      <c r="M41" s="205"/>
      <c r="N41" s="205"/>
      <c r="O41" s="205"/>
      <c r="P41" s="1077"/>
      <c r="Q41" s="205"/>
      <c r="R41" s="346"/>
      <c r="S41" s="205"/>
      <c r="T41" s="124"/>
      <c r="U41" s="347"/>
      <c r="V41" s="1412"/>
      <c r="W41" s="348"/>
      <c r="X41" s="349"/>
      <c r="Y41" s="350"/>
      <c r="Z41" s="124"/>
      <c r="AA41" s="348"/>
      <c r="AB41" s="1412"/>
      <c r="AC41" s="350"/>
      <c r="AD41" s="1413"/>
      <c r="AE41" s="371"/>
      <c r="AF41" s="1413"/>
      <c r="AG41" s="350"/>
      <c r="AH41" s="1413"/>
      <c r="AI41" s="350"/>
      <c r="AJ41" s="24"/>
      <c r="AK41" s="1414"/>
      <c r="AL41" s="72"/>
    </row>
    <row r="42" spans="2:39" ht="67.5">
      <c r="B42" s="364"/>
      <c r="C42" s="355"/>
      <c r="D42" s="344" t="s">
        <v>167</v>
      </c>
      <c r="E42" s="124"/>
      <c r="F42" s="356" t="s">
        <v>699</v>
      </c>
      <c r="G42" s="357">
        <v>13318000000</v>
      </c>
      <c r="H42" s="345" t="s">
        <v>687</v>
      </c>
      <c r="I42" s="193" t="s">
        <v>677</v>
      </c>
      <c r="J42" s="193" t="s">
        <v>677</v>
      </c>
      <c r="K42" s="205" t="s">
        <v>677</v>
      </c>
      <c r="L42" s="205"/>
      <c r="M42" s="205"/>
      <c r="N42" s="205"/>
      <c r="O42" s="205"/>
      <c r="P42" s="1077"/>
      <c r="Q42" s="205"/>
      <c r="R42" s="346"/>
      <c r="S42" s="205"/>
      <c r="T42" s="124" t="s">
        <v>13</v>
      </c>
      <c r="U42" s="347">
        <f>+G42*2%</f>
        <v>266360000</v>
      </c>
      <c r="V42" s="1412" t="s">
        <v>36</v>
      </c>
      <c r="W42" s="347">
        <f>G42*3%</f>
        <v>399540000</v>
      </c>
      <c r="X42" s="349" t="s">
        <v>69</v>
      </c>
      <c r="Y42" s="347">
        <f>G42*8%</f>
        <v>1065440000</v>
      </c>
      <c r="Z42" s="124" t="s">
        <v>89</v>
      </c>
      <c r="AA42" s="347">
        <f>G42*10%</f>
        <v>1331800000</v>
      </c>
      <c r="AB42" s="1412" t="s">
        <v>91</v>
      </c>
      <c r="AC42" s="347">
        <f>+G42*15%</f>
        <v>1997700000</v>
      </c>
      <c r="AD42" s="1413" t="s">
        <v>70</v>
      </c>
      <c r="AE42" s="374">
        <f>+G42*25%</f>
        <v>3329500000</v>
      </c>
      <c r="AF42" s="1433" t="s">
        <v>90</v>
      </c>
      <c r="AG42" s="347">
        <f>G42*21%</f>
        <v>2796780000</v>
      </c>
      <c r="AH42" s="1432" t="s">
        <v>79</v>
      </c>
      <c r="AI42" s="347">
        <f>G42*16%</f>
        <v>2130880000</v>
      </c>
      <c r="AJ42" s="1441">
        <f>M42+O42+Q42+S42+U42+W42+Y42+AA42+AC42+AE42+AG42+AI42</f>
        <v>13318000000</v>
      </c>
      <c r="AK42" s="1357">
        <v>0.38</v>
      </c>
      <c r="AL42" s="72"/>
      <c r="AM42" s="1541">
        <v>0.44</v>
      </c>
    </row>
    <row r="43" spans="2:39" ht="101.25">
      <c r="B43" s="364"/>
      <c r="C43" s="355"/>
      <c r="D43" s="344" t="s">
        <v>167</v>
      </c>
      <c r="E43" s="124"/>
      <c r="F43" s="356" t="s">
        <v>700</v>
      </c>
      <c r="G43" s="357">
        <v>932243000</v>
      </c>
      <c r="H43" s="345" t="s">
        <v>687</v>
      </c>
      <c r="I43" s="193" t="s">
        <v>677</v>
      </c>
      <c r="J43" s="193" t="s">
        <v>677</v>
      </c>
      <c r="K43" s="205" t="s">
        <v>677</v>
      </c>
      <c r="L43" s="205"/>
      <c r="M43" s="205"/>
      <c r="N43" s="205"/>
      <c r="O43" s="205"/>
      <c r="P43" s="1077"/>
      <c r="Q43" s="205"/>
      <c r="R43" s="346"/>
      <c r="S43" s="205"/>
      <c r="T43" s="124" t="s">
        <v>13</v>
      </c>
      <c r="U43" s="347">
        <f>+G43*2%</f>
        <v>18644860</v>
      </c>
      <c r="V43" s="1412" t="s">
        <v>36</v>
      </c>
      <c r="W43" s="347">
        <f>G43*3%</f>
        <v>27967290</v>
      </c>
      <c r="X43" s="349" t="s">
        <v>69</v>
      </c>
      <c r="Y43" s="347">
        <f>G43*8%</f>
        <v>74579440</v>
      </c>
      <c r="Z43" s="124" t="s">
        <v>89</v>
      </c>
      <c r="AA43" s="347">
        <f>G43*10%</f>
        <v>93224300</v>
      </c>
      <c r="AB43" s="1412" t="s">
        <v>91</v>
      </c>
      <c r="AC43" s="347">
        <f>+G43*15%</f>
        <v>139836450</v>
      </c>
      <c r="AD43" s="1413" t="s">
        <v>70</v>
      </c>
      <c r="AE43" s="374">
        <f>+G43*25%</f>
        <v>233060750</v>
      </c>
      <c r="AF43" s="1433" t="s">
        <v>90</v>
      </c>
      <c r="AG43" s="347">
        <f>G43*21%</f>
        <v>195771030</v>
      </c>
      <c r="AH43" s="1432" t="s">
        <v>79</v>
      </c>
      <c r="AI43" s="347">
        <f>G43*16%</f>
        <v>149158880</v>
      </c>
      <c r="AJ43" s="1441">
        <f>M43+O43+Q43+S43+U43+W43+Y43+AA43+AC43+AE43+AG43+AI43</f>
        <v>932243000</v>
      </c>
      <c r="AK43" s="1442">
        <f>464264440/G43</f>
        <v>0.49800796573425599</v>
      </c>
      <c r="AL43" s="72"/>
      <c r="AM43" s="1541"/>
    </row>
    <row r="44" spans="2:39">
      <c r="B44" s="364"/>
      <c r="C44" s="355"/>
      <c r="D44" s="344"/>
      <c r="E44" s="124"/>
      <c r="F44" s="356"/>
      <c r="G44" s="357"/>
      <c r="H44" s="345"/>
      <c r="I44" s="193"/>
      <c r="J44" s="193"/>
      <c r="K44" s="205"/>
      <c r="L44" s="205"/>
      <c r="M44" s="205"/>
      <c r="N44" s="205"/>
      <c r="O44" s="205"/>
      <c r="P44" s="1077"/>
      <c r="Q44" s="205"/>
      <c r="R44" s="346"/>
      <c r="S44" s="205"/>
      <c r="T44" s="124"/>
      <c r="U44" s="347"/>
      <c r="V44" s="1412"/>
      <c r="W44" s="348"/>
      <c r="X44" s="349"/>
      <c r="Y44" s="350"/>
      <c r="Z44" s="124"/>
      <c r="AA44" s="348"/>
      <c r="AB44" s="1412"/>
      <c r="AC44" s="350"/>
      <c r="AD44" s="1413"/>
      <c r="AE44" s="371"/>
      <c r="AF44" s="1413"/>
      <c r="AG44" s="350"/>
      <c r="AH44" s="1413"/>
      <c r="AI44" s="350"/>
      <c r="AJ44" s="24"/>
      <c r="AK44" s="1414"/>
      <c r="AL44" s="72"/>
    </row>
    <row r="45" spans="2:39" ht="56.25">
      <c r="B45" s="364"/>
      <c r="C45" s="355"/>
      <c r="D45" s="344" t="s">
        <v>585</v>
      </c>
      <c r="E45" s="124"/>
      <c r="F45" s="356" t="s">
        <v>701</v>
      </c>
      <c r="G45" s="357">
        <f>5345035000+828021000+1354944000</f>
        <v>7528000000</v>
      </c>
      <c r="H45" s="345" t="s">
        <v>687</v>
      </c>
      <c r="I45" s="193" t="s">
        <v>677</v>
      </c>
      <c r="J45" s="193" t="s">
        <v>677</v>
      </c>
      <c r="K45" s="205" t="s">
        <v>677</v>
      </c>
      <c r="L45" s="205"/>
      <c r="M45" s="205"/>
      <c r="N45" s="205"/>
      <c r="O45" s="205"/>
      <c r="P45" s="1077"/>
      <c r="Q45" s="205"/>
      <c r="R45" s="346"/>
      <c r="S45" s="205"/>
      <c r="T45" s="124" t="s">
        <v>13</v>
      </c>
      <c r="U45" s="347">
        <f>+G45*2%</f>
        <v>150560000</v>
      </c>
      <c r="V45" s="1412" t="s">
        <v>36</v>
      </c>
      <c r="W45" s="347">
        <f>G45*4%</f>
        <v>301120000</v>
      </c>
      <c r="X45" s="349" t="s">
        <v>69</v>
      </c>
      <c r="Y45" s="347">
        <f>G45*7%</f>
        <v>526960000.00000006</v>
      </c>
      <c r="Z45" s="124" t="s">
        <v>89</v>
      </c>
      <c r="AA45" s="347">
        <f>G45*9%</f>
        <v>677520000</v>
      </c>
      <c r="AB45" s="1412" t="s">
        <v>91</v>
      </c>
      <c r="AC45" s="347">
        <f>+G45*13%</f>
        <v>978640000</v>
      </c>
      <c r="AD45" s="1413" t="s">
        <v>70</v>
      </c>
      <c r="AE45" s="374">
        <f>+G45*15%</f>
        <v>1129200000</v>
      </c>
      <c r="AF45" s="1433" t="s">
        <v>90</v>
      </c>
      <c r="AG45" s="347">
        <f>G45*25%</f>
        <v>1882000000</v>
      </c>
      <c r="AH45" s="1432" t="s">
        <v>79</v>
      </c>
      <c r="AI45" s="347">
        <f>G45*25%</f>
        <v>1882000000</v>
      </c>
      <c r="AJ45" s="1441">
        <f>M45+O45+Q45+S45+U45+W45+Y45+AA45+AC45+AE45+AG45+AI45</f>
        <v>7528000000</v>
      </c>
      <c r="AK45" s="1357">
        <v>0.22</v>
      </c>
      <c r="AL45" s="72"/>
      <c r="AM45" s="1541">
        <v>0.17</v>
      </c>
    </row>
    <row r="46" spans="2:39" ht="101.25">
      <c r="B46" s="364"/>
      <c r="C46" s="376"/>
      <c r="D46" s="344" t="s">
        <v>585</v>
      </c>
      <c r="E46" s="124"/>
      <c r="F46" s="356" t="s">
        <v>702</v>
      </c>
      <c r="G46" s="357">
        <v>526923000</v>
      </c>
      <c r="H46" s="345" t="s">
        <v>687</v>
      </c>
      <c r="I46" s="193" t="s">
        <v>677</v>
      </c>
      <c r="J46" s="193" t="s">
        <v>677</v>
      </c>
      <c r="K46" s="205" t="s">
        <v>677</v>
      </c>
      <c r="L46" s="205"/>
      <c r="M46" s="205"/>
      <c r="N46" s="205"/>
      <c r="O46" s="205"/>
      <c r="P46" s="1077"/>
      <c r="Q46" s="205"/>
      <c r="R46" s="346"/>
      <c r="S46" s="205"/>
      <c r="T46" s="124" t="s">
        <v>13</v>
      </c>
      <c r="U46" s="347">
        <f>+G46*2%</f>
        <v>10538460</v>
      </c>
      <c r="V46" s="1412" t="s">
        <v>36</v>
      </c>
      <c r="W46" s="347">
        <f>G46*4%</f>
        <v>21076920</v>
      </c>
      <c r="X46" s="349" t="s">
        <v>69</v>
      </c>
      <c r="Y46" s="347">
        <f>G46*7%</f>
        <v>36884610</v>
      </c>
      <c r="Z46" s="124" t="s">
        <v>89</v>
      </c>
      <c r="AA46" s="347">
        <f>G46*9%</f>
        <v>47423070</v>
      </c>
      <c r="AB46" s="1412" t="s">
        <v>91</v>
      </c>
      <c r="AC46" s="347">
        <f>+G46*13%</f>
        <v>68499990</v>
      </c>
      <c r="AD46" s="1413" t="s">
        <v>70</v>
      </c>
      <c r="AE46" s="374">
        <f>+G46*15%</f>
        <v>79038450</v>
      </c>
      <c r="AF46" s="1433" t="s">
        <v>90</v>
      </c>
      <c r="AG46" s="347">
        <f>G46*25%</f>
        <v>131730750</v>
      </c>
      <c r="AH46" s="1432" t="s">
        <v>79</v>
      </c>
      <c r="AI46" s="347">
        <f>G46*25%</f>
        <v>131730750</v>
      </c>
      <c r="AJ46" s="1441">
        <f>M46+O46+Q46+S46+U46+W46+Y46+AA46+AC46+AE46+AG46+AI46</f>
        <v>526923000</v>
      </c>
      <c r="AK46" s="1442">
        <f>65602888/AJ46</f>
        <v>0.12450184941632839</v>
      </c>
      <c r="AL46" s="72"/>
      <c r="AM46" s="1541"/>
    </row>
    <row r="47" spans="2:39">
      <c r="B47" s="364"/>
      <c r="C47" s="355"/>
      <c r="D47" s="344"/>
      <c r="E47" s="124"/>
      <c r="F47" s="356"/>
      <c r="G47" s="357"/>
      <c r="H47" s="193"/>
      <c r="I47" s="193"/>
      <c r="J47" s="193"/>
      <c r="K47" s="205"/>
      <c r="L47" s="205"/>
      <c r="M47" s="205"/>
      <c r="N47" s="205"/>
      <c r="O47" s="205"/>
      <c r="P47" s="1077"/>
      <c r="Q47" s="205"/>
      <c r="R47" s="346"/>
      <c r="S47" s="205"/>
      <c r="T47" s="124"/>
      <c r="U47" s="347"/>
      <c r="V47" s="1412"/>
      <c r="W47" s="348"/>
      <c r="X47" s="349"/>
      <c r="Y47" s="350"/>
      <c r="Z47" s="124"/>
      <c r="AA47" s="348"/>
      <c r="AB47" s="1412"/>
      <c r="AC47" s="350"/>
      <c r="AD47" s="1413"/>
      <c r="AE47" s="371"/>
      <c r="AF47" s="1413"/>
      <c r="AG47" s="350"/>
      <c r="AH47" s="1413"/>
      <c r="AI47" s="350"/>
      <c r="AJ47" s="24"/>
      <c r="AK47" s="1414"/>
      <c r="AL47" s="72"/>
    </row>
    <row r="48" spans="2:39" ht="67.5">
      <c r="B48" s="364"/>
      <c r="C48" s="355"/>
      <c r="D48" s="344" t="s">
        <v>113</v>
      </c>
      <c r="E48" s="124"/>
      <c r="F48" s="356" t="s">
        <v>703</v>
      </c>
      <c r="G48" s="357">
        <f>3200124717+2120124718+1264750565</f>
        <v>6585000000</v>
      </c>
      <c r="H48" s="345" t="s">
        <v>687</v>
      </c>
      <c r="I48" s="193" t="s">
        <v>677</v>
      </c>
      <c r="J48" s="193" t="s">
        <v>677</v>
      </c>
      <c r="K48" s="205" t="s">
        <v>677</v>
      </c>
      <c r="L48" s="205"/>
      <c r="M48" s="205"/>
      <c r="N48" s="205"/>
      <c r="O48" s="205"/>
      <c r="P48" s="1077"/>
      <c r="Q48" s="205"/>
      <c r="R48" s="346"/>
      <c r="S48" s="205"/>
      <c r="T48" s="124" t="s">
        <v>13</v>
      </c>
      <c r="U48" s="347">
        <f>G48*3%</f>
        <v>197550000</v>
      </c>
      <c r="V48" s="1412" t="s">
        <v>36</v>
      </c>
      <c r="W48" s="347">
        <f>G48*7%</f>
        <v>460950000.00000006</v>
      </c>
      <c r="X48" s="349" t="s">
        <v>69</v>
      </c>
      <c r="Y48" s="347">
        <f>G48*17%</f>
        <v>1119450000</v>
      </c>
      <c r="Z48" s="124" t="s">
        <v>89</v>
      </c>
      <c r="AA48" s="347">
        <f>G48*21%</f>
        <v>1382850000</v>
      </c>
      <c r="AB48" s="1412" t="s">
        <v>91</v>
      </c>
      <c r="AC48" s="347">
        <f>G48*18%</f>
        <v>1185300000</v>
      </c>
      <c r="AD48" s="1413" t="s">
        <v>70</v>
      </c>
      <c r="AE48" s="1440">
        <f>G48*14%</f>
        <v>921900000.00000012</v>
      </c>
      <c r="AF48" s="1413" t="s">
        <v>90</v>
      </c>
      <c r="AG48" s="347">
        <f>G48*12%</f>
        <v>790200000</v>
      </c>
      <c r="AH48" s="1413" t="s">
        <v>79</v>
      </c>
      <c r="AI48" s="347">
        <f>G48*8%</f>
        <v>526800000</v>
      </c>
      <c r="AJ48" s="1441">
        <f>M48+O48+Q48+S48+U48+W48+Y48+AA48+AC48+AE48+AG48+AI48</f>
        <v>6585000000</v>
      </c>
      <c r="AK48" s="1357">
        <v>0.25</v>
      </c>
      <c r="AL48" s="72"/>
      <c r="AM48" s="1541">
        <v>0.41</v>
      </c>
    </row>
    <row r="49" spans="2:39" ht="101.25">
      <c r="B49" s="364"/>
      <c r="C49" s="376"/>
      <c r="D49" s="344" t="s">
        <v>113</v>
      </c>
      <c r="E49" s="124"/>
      <c r="F49" s="356" t="s">
        <v>704</v>
      </c>
      <c r="G49" s="357">
        <v>536524000</v>
      </c>
      <c r="H49" s="345" t="s">
        <v>687</v>
      </c>
      <c r="I49" s="193" t="s">
        <v>677</v>
      </c>
      <c r="J49" s="193" t="s">
        <v>677</v>
      </c>
      <c r="K49" s="205" t="s">
        <v>677</v>
      </c>
      <c r="L49" s="205"/>
      <c r="M49" s="205"/>
      <c r="N49" s="205"/>
      <c r="O49" s="205"/>
      <c r="P49" s="1077"/>
      <c r="Q49" s="205"/>
      <c r="R49" s="346"/>
      <c r="S49" s="205"/>
      <c r="T49" s="124" t="s">
        <v>13</v>
      </c>
      <c r="U49" s="347">
        <f>G49*3%</f>
        <v>16095720</v>
      </c>
      <c r="V49" s="1412" t="s">
        <v>36</v>
      </c>
      <c r="W49" s="347">
        <f>G49*7%</f>
        <v>37556680</v>
      </c>
      <c r="X49" s="349" t="s">
        <v>69</v>
      </c>
      <c r="Y49" s="347">
        <f>G49*17%</f>
        <v>91209080</v>
      </c>
      <c r="Z49" s="124" t="s">
        <v>89</v>
      </c>
      <c r="AA49" s="347">
        <f>G49*21%</f>
        <v>112670040</v>
      </c>
      <c r="AB49" s="1412" t="s">
        <v>91</v>
      </c>
      <c r="AC49" s="347">
        <f>G49*18%</f>
        <v>96574320</v>
      </c>
      <c r="AD49" s="1413" t="s">
        <v>70</v>
      </c>
      <c r="AE49" s="1440">
        <f>G49*14%</f>
        <v>75113360</v>
      </c>
      <c r="AF49" s="1413" t="s">
        <v>90</v>
      </c>
      <c r="AG49" s="347">
        <f>G49*12%</f>
        <v>64382880</v>
      </c>
      <c r="AH49" s="1413" t="s">
        <v>79</v>
      </c>
      <c r="AI49" s="347">
        <f>G49*8%</f>
        <v>42921920</v>
      </c>
      <c r="AJ49" s="1441">
        <f>M49+O49+Q49+S49+U49+W49+Y49+AA49+AC49+AE49+AG49+AI49</f>
        <v>536524000</v>
      </c>
      <c r="AK49" s="1357">
        <v>0.56999999999999995</v>
      </c>
      <c r="AL49" s="72"/>
      <c r="AM49" s="1541"/>
    </row>
    <row r="50" spans="2:39">
      <c r="B50" s="364"/>
      <c r="C50" s="355"/>
      <c r="D50" s="344"/>
      <c r="E50" s="124"/>
      <c r="F50" s="356"/>
      <c r="G50" s="357"/>
      <c r="H50" s="193"/>
      <c r="I50" s="193"/>
      <c r="J50" s="193"/>
      <c r="K50" s="205"/>
      <c r="L50" s="205"/>
      <c r="M50" s="205"/>
      <c r="N50" s="205"/>
      <c r="O50" s="205"/>
      <c r="P50" s="1077"/>
      <c r="Q50" s="205"/>
      <c r="R50" s="346"/>
      <c r="S50" s="205"/>
      <c r="T50" s="124"/>
      <c r="U50" s="347"/>
      <c r="V50" s="1412"/>
      <c r="W50" s="348"/>
      <c r="X50" s="349"/>
      <c r="Y50" s="350"/>
      <c r="Z50" s="124"/>
      <c r="AA50" s="348"/>
      <c r="AB50" s="1412"/>
      <c r="AC50" s="350"/>
      <c r="AD50" s="1413"/>
      <c r="AE50" s="371"/>
      <c r="AF50" s="1413"/>
      <c r="AG50" s="350"/>
      <c r="AH50" s="1413"/>
      <c r="AI50" s="350"/>
      <c r="AJ50" s="24"/>
      <c r="AK50" s="1414"/>
      <c r="AL50" s="72"/>
    </row>
    <row r="51" spans="2:39" ht="78.75" customHeight="1">
      <c r="B51" s="364"/>
      <c r="C51" s="355"/>
      <c r="D51" s="344" t="s">
        <v>705</v>
      </c>
      <c r="E51" s="124"/>
      <c r="F51" s="356" t="s">
        <v>706</v>
      </c>
      <c r="G51" s="356">
        <v>1121496000</v>
      </c>
      <c r="H51" s="345" t="s">
        <v>687</v>
      </c>
      <c r="I51" s="193" t="s">
        <v>677</v>
      </c>
      <c r="J51" s="193" t="s">
        <v>677</v>
      </c>
      <c r="K51" s="205" t="s">
        <v>677</v>
      </c>
      <c r="L51" s="205"/>
      <c r="M51" s="205"/>
      <c r="N51" s="205"/>
      <c r="O51" s="205"/>
      <c r="P51" s="1448" t="s">
        <v>5</v>
      </c>
      <c r="Q51" s="377">
        <f>G51*0.2</f>
        <v>224299200</v>
      </c>
      <c r="R51" s="1432" t="s">
        <v>6</v>
      </c>
      <c r="S51" s="347">
        <f>G51*0.25</f>
        <v>280374000</v>
      </c>
      <c r="T51" s="369" t="s">
        <v>13</v>
      </c>
      <c r="U51" s="347">
        <f>G51*0.35</f>
        <v>392523600</v>
      </c>
      <c r="V51" s="1432" t="s">
        <v>36</v>
      </c>
      <c r="W51" s="347">
        <f>G51*0.2</f>
        <v>224299200</v>
      </c>
      <c r="X51" s="368" t="s">
        <v>69</v>
      </c>
      <c r="Y51" s="347">
        <f>G51*0.2</f>
        <v>224299200</v>
      </c>
      <c r="Z51" s="193"/>
      <c r="AA51" s="347"/>
      <c r="AB51" s="1412"/>
      <c r="AC51" s="347"/>
      <c r="AD51" s="372"/>
      <c r="AE51" s="1449"/>
      <c r="AF51" s="372"/>
      <c r="AG51" s="369"/>
      <c r="AH51" s="372"/>
      <c r="AI51" s="369"/>
      <c r="AJ51" s="1441">
        <f>M51+O51+Q51+S51+U51+W51+Y51+AA51+AC51+AE51+AG51+AI51</f>
        <v>1345795200</v>
      </c>
      <c r="AK51" s="1357">
        <v>0.42</v>
      </c>
      <c r="AL51" s="1421" t="s">
        <v>3153</v>
      </c>
      <c r="AM51" s="1541">
        <v>0.41</v>
      </c>
    </row>
    <row r="52" spans="2:39" ht="101.25">
      <c r="B52" s="364"/>
      <c r="C52" s="376"/>
      <c r="D52" s="344" t="s">
        <v>705</v>
      </c>
      <c r="E52" s="124"/>
      <c r="F52" s="356" t="s">
        <v>707</v>
      </c>
      <c r="G52" s="357">
        <v>78505000</v>
      </c>
      <c r="H52" s="345" t="s">
        <v>687</v>
      </c>
      <c r="I52" s="193" t="s">
        <v>677</v>
      </c>
      <c r="J52" s="193" t="s">
        <v>677</v>
      </c>
      <c r="K52" s="205" t="s">
        <v>677</v>
      </c>
      <c r="L52" s="205"/>
      <c r="M52" s="205"/>
      <c r="N52" s="205"/>
      <c r="O52" s="205"/>
      <c r="P52" s="1448" t="s">
        <v>5</v>
      </c>
      <c r="Q52" s="377">
        <f>G52*0.2</f>
        <v>15701000</v>
      </c>
      <c r="R52" s="1432" t="s">
        <v>6</v>
      </c>
      <c r="S52" s="347">
        <f>G52*0.25</f>
        <v>19626250</v>
      </c>
      <c r="T52" s="369" t="s">
        <v>13</v>
      </c>
      <c r="U52" s="347">
        <f>G52*0.35</f>
        <v>27476750</v>
      </c>
      <c r="V52" s="1432" t="s">
        <v>36</v>
      </c>
      <c r="W52" s="347">
        <f>G52*0.2</f>
        <v>15701000</v>
      </c>
      <c r="X52" s="368" t="s">
        <v>69</v>
      </c>
      <c r="Y52" s="347">
        <f>G52*0.2</f>
        <v>15701000</v>
      </c>
      <c r="Z52" s="193"/>
      <c r="AA52" s="347"/>
      <c r="AB52" s="1412"/>
      <c r="AC52" s="347"/>
      <c r="AD52" s="372"/>
      <c r="AE52" s="1449"/>
      <c r="AF52" s="372"/>
      <c r="AG52" s="369"/>
      <c r="AH52" s="372"/>
      <c r="AI52" s="369"/>
      <c r="AJ52" s="1441">
        <f>M52+O52+Q52+S52+U52+W52+Y52+AA52+AC52+AE52+AG52+AI52</f>
        <v>94206000</v>
      </c>
      <c r="AK52" s="1357">
        <v>0.4</v>
      </c>
      <c r="AL52" s="1421" t="s">
        <v>3153</v>
      </c>
      <c r="AM52" s="1541"/>
    </row>
    <row r="53" spans="2:39" ht="22.5">
      <c r="B53" s="362" t="s">
        <v>708</v>
      </c>
      <c r="C53" s="355"/>
      <c r="D53" s="344"/>
      <c r="E53" s="124"/>
      <c r="F53" s="356"/>
      <c r="G53" s="357"/>
      <c r="H53" s="193"/>
      <c r="I53" s="193"/>
      <c r="J53" s="193"/>
      <c r="K53" s="205"/>
      <c r="L53" s="205"/>
      <c r="M53" s="205"/>
      <c r="N53" s="205"/>
      <c r="O53" s="205"/>
      <c r="P53" s="1077"/>
      <c r="Q53" s="205"/>
      <c r="R53" s="346"/>
      <c r="S53" s="205"/>
      <c r="T53" s="124"/>
      <c r="U53" s="347"/>
      <c r="V53" s="1412"/>
      <c r="W53" s="348"/>
      <c r="X53" s="349"/>
      <c r="Y53" s="350"/>
      <c r="Z53" s="124"/>
      <c r="AA53" s="348"/>
      <c r="AB53" s="1412"/>
      <c r="AC53" s="350"/>
      <c r="AD53" s="1413"/>
      <c r="AE53" s="371"/>
      <c r="AF53" s="1413"/>
      <c r="AG53" s="350"/>
      <c r="AH53" s="1413"/>
      <c r="AI53" s="350"/>
      <c r="AJ53" s="24"/>
      <c r="AK53" s="1414"/>
      <c r="AL53" s="72"/>
    </row>
    <row r="54" spans="2:39" ht="112.5">
      <c r="B54" s="364"/>
      <c r="C54" s="355"/>
      <c r="D54" s="344" t="s">
        <v>0</v>
      </c>
      <c r="E54" s="124"/>
      <c r="F54" s="356" t="s">
        <v>709</v>
      </c>
      <c r="G54" s="357">
        <v>4878000000</v>
      </c>
      <c r="H54" s="193" t="s">
        <v>710</v>
      </c>
      <c r="I54" s="193" t="s">
        <v>677</v>
      </c>
      <c r="J54" s="193" t="s">
        <v>677</v>
      </c>
      <c r="K54" s="205" t="s">
        <v>677</v>
      </c>
      <c r="L54" s="205"/>
      <c r="M54" s="205"/>
      <c r="N54" s="205"/>
      <c r="O54" s="205"/>
      <c r="P54" s="1077"/>
      <c r="Q54" s="205"/>
      <c r="R54" s="346"/>
      <c r="S54" s="205"/>
      <c r="T54" s="124"/>
      <c r="U54" s="347"/>
      <c r="V54" s="1412"/>
      <c r="W54" s="348"/>
      <c r="X54" s="349"/>
      <c r="Y54" s="350"/>
      <c r="Z54" s="124"/>
      <c r="AA54" s="348"/>
      <c r="AB54" s="1412"/>
      <c r="AC54" s="350"/>
      <c r="AD54" s="1413"/>
      <c r="AE54" s="371"/>
      <c r="AF54" s="1413"/>
      <c r="AG54" s="350"/>
      <c r="AH54" s="1413"/>
      <c r="AI54" s="350"/>
      <c r="AJ54" s="1441">
        <f>M54+O54+Q54+S54+U54+W54+Y54+AA54+AC54+AE54+AG54+AI54</f>
        <v>0</v>
      </c>
      <c r="AK54" s="1357">
        <f>3147104936/G54</f>
        <v>0.64516296350963509</v>
      </c>
      <c r="AL54" s="72"/>
      <c r="AM54" s="1221">
        <v>0.65</v>
      </c>
    </row>
    <row r="55" spans="2:39">
      <c r="B55" s="378" t="s">
        <v>711</v>
      </c>
      <c r="C55" s="355"/>
      <c r="D55" s="344"/>
      <c r="E55" s="124"/>
      <c r="F55" s="124"/>
      <c r="G55" s="357"/>
      <c r="H55" s="193"/>
      <c r="I55" s="193"/>
      <c r="J55" s="193"/>
      <c r="K55" s="205"/>
      <c r="L55" s="205"/>
      <c r="M55" s="205"/>
      <c r="N55" s="205"/>
      <c r="O55" s="205"/>
      <c r="P55" s="1077"/>
      <c r="Q55" s="205"/>
      <c r="R55" s="346"/>
      <c r="S55" s="205"/>
      <c r="T55" s="124"/>
      <c r="U55" s="347"/>
      <c r="V55" s="1412"/>
      <c r="W55" s="348"/>
      <c r="X55" s="349"/>
      <c r="Y55" s="350"/>
      <c r="Z55" s="124"/>
      <c r="AA55" s="348"/>
      <c r="AB55" s="1412"/>
      <c r="AC55" s="350"/>
      <c r="AD55" s="1413"/>
      <c r="AE55" s="371"/>
      <c r="AF55" s="1413"/>
      <c r="AG55" s="350"/>
      <c r="AH55" s="1413"/>
      <c r="AI55" s="350"/>
      <c r="AJ55" s="24"/>
      <c r="AK55" s="1414"/>
      <c r="AL55" s="72"/>
    </row>
    <row r="56" spans="2:39" ht="56.25">
      <c r="B56" s="378"/>
      <c r="C56" s="379"/>
      <c r="D56" s="379" t="s">
        <v>107</v>
      </c>
      <c r="E56" s="124"/>
      <c r="F56" s="356" t="s">
        <v>712</v>
      </c>
      <c r="G56" s="357">
        <v>10800000000</v>
      </c>
      <c r="H56" s="193"/>
      <c r="I56" s="193" t="s">
        <v>90</v>
      </c>
      <c r="J56" s="193" t="s">
        <v>79</v>
      </c>
      <c r="K56" s="205">
        <f>+G56*0.3</f>
        <v>3240000000</v>
      </c>
      <c r="L56" s="205"/>
      <c r="M56" s="205"/>
      <c r="N56" s="205"/>
      <c r="O56" s="205"/>
      <c r="P56" s="1077"/>
      <c r="Q56" s="205"/>
      <c r="R56" s="346"/>
      <c r="S56" s="205"/>
      <c r="T56" s="124"/>
      <c r="U56" s="347"/>
      <c r="V56" s="1412"/>
      <c r="W56" s="348"/>
      <c r="X56" s="349"/>
      <c r="Y56" s="350"/>
      <c r="Z56" s="124"/>
      <c r="AA56" s="348"/>
      <c r="AB56" s="1412"/>
      <c r="AC56" s="350"/>
      <c r="AD56" s="1413"/>
      <c r="AE56" s="371"/>
      <c r="AF56" s="1413"/>
      <c r="AG56" s="350"/>
      <c r="AH56" s="1413"/>
      <c r="AI56" s="350"/>
      <c r="AJ56" s="24"/>
      <c r="AK56" s="1414"/>
      <c r="AL56" s="72"/>
      <c r="AM56" s="1541">
        <v>0</v>
      </c>
    </row>
    <row r="57" spans="2:39" ht="33.75">
      <c r="B57" s="380"/>
      <c r="C57" s="379"/>
      <c r="D57" s="379" t="s">
        <v>112</v>
      </c>
      <c r="E57" s="124"/>
      <c r="F57" s="356" t="s">
        <v>713</v>
      </c>
      <c r="G57" s="357">
        <v>5400000000</v>
      </c>
      <c r="H57" s="193"/>
      <c r="I57" s="193" t="s">
        <v>90</v>
      </c>
      <c r="J57" s="193" t="s">
        <v>79</v>
      </c>
      <c r="K57" s="205">
        <f t="shared" ref="K57:K59" si="3">+G57*0.3</f>
        <v>1620000000</v>
      </c>
      <c r="L57" s="205"/>
      <c r="M57" s="205"/>
      <c r="N57" s="205"/>
      <c r="O57" s="205"/>
      <c r="P57" s="1077"/>
      <c r="Q57" s="205"/>
      <c r="R57" s="346"/>
      <c r="S57" s="205"/>
      <c r="T57" s="124"/>
      <c r="U57" s="347"/>
      <c r="V57" s="1412"/>
      <c r="W57" s="348"/>
      <c r="X57" s="349"/>
      <c r="Y57" s="350"/>
      <c r="Z57" s="124" t="s">
        <v>89</v>
      </c>
      <c r="AA57" s="347">
        <f>G57*25%</f>
        <v>1350000000</v>
      </c>
      <c r="AB57" s="1412" t="s">
        <v>91</v>
      </c>
      <c r="AC57" s="347">
        <f>G57*25%</f>
        <v>1350000000</v>
      </c>
      <c r="AD57" s="1413" t="s">
        <v>70</v>
      </c>
      <c r="AE57" s="1440">
        <f>G57*25%</f>
        <v>1350000000</v>
      </c>
      <c r="AF57" s="1413" t="s">
        <v>90</v>
      </c>
      <c r="AG57" s="347">
        <f>G57*15%</f>
        <v>810000000</v>
      </c>
      <c r="AH57" s="1413" t="s">
        <v>79</v>
      </c>
      <c r="AI57" s="347">
        <f>G57*10%</f>
        <v>540000000</v>
      </c>
      <c r="AJ57" s="1441">
        <f>M57+O57+Q57+S57+U57+W57+Y57+AA57+AC57+AE57+AG57+AI57</f>
        <v>5400000000</v>
      </c>
      <c r="AK57" s="1442">
        <v>0</v>
      </c>
      <c r="AL57" s="72" t="s">
        <v>3154</v>
      </c>
      <c r="AM57" s="1541"/>
    </row>
    <row r="58" spans="2:39" ht="56.25">
      <c r="B58" s="380"/>
      <c r="C58" s="379"/>
      <c r="D58" s="379" t="s">
        <v>714</v>
      </c>
      <c r="E58" s="124"/>
      <c r="F58" s="356" t="s">
        <v>715</v>
      </c>
      <c r="G58" s="357">
        <v>5400000000</v>
      </c>
      <c r="H58" s="193"/>
      <c r="I58" s="193" t="s">
        <v>90</v>
      </c>
      <c r="J58" s="193" t="s">
        <v>79</v>
      </c>
      <c r="K58" s="205">
        <f t="shared" si="3"/>
        <v>1620000000</v>
      </c>
      <c r="L58" s="205"/>
      <c r="M58" s="205"/>
      <c r="N58" s="205"/>
      <c r="O58" s="205"/>
      <c r="P58" s="1077"/>
      <c r="Q58" s="205"/>
      <c r="R58" s="346"/>
      <c r="S58" s="205"/>
      <c r="T58" s="124"/>
      <c r="U58" s="347"/>
      <c r="V58" s="1412"/>
      <c r="W58" s="348"/>
      <c r="X58" s="349" t="s">
        <v>69</v>
      </c>
      <c r="Y58" s="347">
        <f>G58*10%</f>
        <v>540000000</v>
      </c>
      <c r="Z58" s="124" t="s">
        <v>89</v>
      </c>
      <c r="AA58" s="347">
        <f>G58*10%</f>
        <v>540000000</v>
      </c>
      <c r="AB58" s="1412" t="s">
        <v>91</v>
      </c>
      <c r="AC58" s="347">
        <f>G58*15%</f>
        <v>810000000</v>
      </c>
      <c r="AD58" s="1413" t="s">
        <v>70</v>
      </c>
      <c r="AE58" s="1440">
        <f>G58*20%</f>
        <v>1080000000</v>
      </c>
      <c r="AF58" s="1413" t="s">
        <v>90</v>
      </c>
      <c r="AG58" s="347">
        <f>G58*20%</f>
        <v>1080000000</v>
      </c>
      <c r="AH58" s="1413" t="s">
        <v>79</v>
      </c>
      <c r="AI58" s="347">
        <f>G58*25%</f>
        <v>1350000000</v>
      </c>
      <c r="AJ58" s="1441">
        <f>M58+O58+Q58+S58+U58+W58+Y58+AA58+AC58+AE58+AG58+AI58</f>
        <v>5400000000</v>
      </c>
      <c r="AK58" s="1442">
        <v>0</v>
      </c>
      <c r="AL58" s="72"/>
      <c r="AM58" s="1541"/>
    </row>
    <row r="59" spans="2:39" ht="33.75">
      <c r="B59" s="364"/>
      <c r="C59" s="355"/>
      <c r="D59" s="344" t="s">
        <v>582</v>
      </c>
      <c r="E59" s="124"/>
      <c r="F59" s="356" t="s">
        <v>716</v>
      </c>
      <c r="G59" s="357">
        <v>2000000000</v>
      </c>
      <c r="H59" s="381" t="s">
        <v>717</v>
      </c>
      <c r="I59" s="193" t="s">
        <v>90</v>
      </c>
      <c r="J59" s="193" t="s">
        <v>79</v>
      </c>
      <c r="K59" s="205">
        <f t="shared" si="3"/>
        <v>600000000</v>
      </c>
      <c r="L59" s="205"/>
      <c r="M59" s="205"/>
      <c r="N59" s="205"/>
      <c r="O59" s="205"/>
      <c r="P59" s="1077"/>
      <c r="Q59" s="205"/>
      <c r="R59" s="346"/>
      <c r="S59" s="205"/>
      <c r="T59" s="124"/>
      <c r="U59" s="347"/>
      <c r="V59" s="1412"/>
      <c r="W59" s="348"/>
      <c r="X59" s="349"/>
      <c r="Y59" s="350"/>
      <c r="Z59" s="124"/>
      <c r="AA59" s="348"/>
      <c r="AB59" s="1412"/>
      <c r="AC59" s="350"/>
      <c r="AD59" s="1413"/>
      <c r="AE59" s="371"/>
      <c r="AF59" s="1413"/>
      <c r="AG59" s="350"/>
      <c r="AH59" s="1413"/>
      <c r="AI59" s="350"/>
      <c r="AJ59" s="24"/>
      <c r="AK59" s="1414"/>
      <c r="AL59" s="72"/>
      <c r="AM59" s="1541"/>
    </row>
    <row r="60" spans="2:39" ht="45">
      <c r="B60" s="364"/>
      <c r="C60" s="355"/>
      <c r="D60" s="344" t="s">
        <v>114</v>
      </c>
      <c r="E60" s="124"/>
      <c r="F60" s="356" t="s">
        <v>718</v>
      </c>
      <c r="G60" s="357">
        <v>2000000000</v>
      </c>
      <c r="H60" s="193"/>
      <c r="I60" s="193"/>
      <c r="J60" s="193"/>
      <c r="K60" s="205"/>
      <c r="L60" s="205"/>
      <c r="M60" s="205"/>
      <c r="N60" s="205"/>
      <c r="O60" s="205"/>
      <c r="P60" s="1077"/>
      <c r="Q60" s="205"/>
      <c r="R60" s="346"/>
      <c r="S60" s="205"/>
      <c r="T60" s="124"/>
      <c r="U60" s="347"/>
      <c r="V60" s="1412"/>
      <c r="W60" s="348"/>
      <c r="X60" s="349"/>
      <c r="Y60" s="350"/>
      <c r="Z60" s="124" t="s">
        <v>89</v>
      </c>
      <c r="AA60" s="347">
        <f>G60*20%</f>
        <v>400000000</v>
      </c>
      <c r="AB60" s="1412" t="s">
        <v>91</v>
      </c>
      <c r="AC60" s="347">
        <f>G60*20%</f>
        <v>400000000</v>
      </c>
      <c r="AD60" s="1413" t="s">
        <v>70</v>
      </c>
      <c r="AE60" s="1440">
        <f>G60*20%</f>
        <v>400000000</v>
      </c>
      <c r="AF60" s="1413" t="s">
        <v>90</v>
      </c>
      <c r="AG60" s="347">
        <f>G60*20%</f>
        <v>400000000</v>
      </c>
      <c r="AH60" s="1413" t="s">
        <v>79</v>
      </c>
      <c r="AI60" s="347">
        <f>G60*20%</f>
        <v>400000000</v>
      </c>
      <c r="AJ60" s="1441">
        <f>M60+O60+Q60+S60+U60+W60+Y60+AA60+AC60+AE60+AG60+AI60</f>
        <v>2000000000</v>
      </c>
      <c r="AK60" s="1442">
        <v>0</v>
      </c>
      <c r="AL60" s="674" t="s">
        <v>3155</v>
      </c>
      <c r="AM60" s="1541"/>
    </row>
    <row r="61" spans="2:39">
      <c r="B61" s="378" t="s">
        <v>719</v>
      </c>
      <c r="C61" s="355"/>
      <c r="D61" s="344"/>
      <c r="E61" s="124"/>
      <c r="F61" s="124"/>
      <c r="G61" s="345"/>
      <c r="H61" s="193"/>
      <c r="I61" s="193"/>
      <c r="J61" s="193"/>
      <c r="K61" s="205"/>
      <c r="L61" s="205"/>
      <c r="M61" s="205"/>
      <c r="N61" s="205"/>
      <c r="O61" s="205"/>
      <c r="P61" s="1077"/>
      <c r="Q61" s="205"/>
      <c r="R61" s="346"/>
      <c r="S61" s="205"/>
      <c r="T61" s="124"/>
      <c r="U61" s="347"/>
      <c r="V61" s="1412"/>
      <c r="W61" s="348"/>
      <c r="X61" s="349"/>
      <c r="Y61" s="350"/>
      <c r="Z61" s="124"/>
      <c r="AA61" s="348"/>
      <c r="AB61" s="1412"/>
      <c r="AC61" s="350"/>
      <c r="AD61" s="1413"/>
      <c r="AE61" s="371"/>
      <c r="AF61" s="1413"/>
      <c r="AG61" s="350"/>
      <c r="AH61" s="1413"/>
      <c r="AI61" s="350"/>
      <c r="AJ61" s="24"/>
      <c r="AK61" s="1414"/>
      <c r="AL61" s="72"/>
    </row>
    <row r="62" spans="2:39" ht="67.5">
      <c r="B62" s="378"/>
      <c r="C62" s="379"/>
      <c r="D62" s="379" t="s">
        <v>113</v>
      </c>
      <c r="E62" s="124"/>
      <c r="F62" s="356" t="s">
        <v>720</v>
      </c>
      <c r="G62" s="357">
        <v>2700000000</v>
      </c>
      <c r="H62" s="193"/>
      <c r="I62" s="193" t="s">
        <v>90</v>
      </c>
      <c r="J62" s="193" t="s">
        <v>79</v>
      </c>
      <c r="K62" s="205">
        <f>+G62*0.3</f>
        <v>810000000</v>
      </c>
      <c r="L62" s="205"/>
      <c r="M62" s="205"/>
      <c r="N62" s="205"/>
      <c r="O62" s="205"/>
      <c r="P62" s="1077"/>
      <c r="Q62" s="205"/>
      <c r="R62" s="346"/>
      <c r="S62" s="205"/>
      <c r="T62" s="124"/>
      <c r="U62" s="347"/>
      <c r="V62" s="1412"/>
      <c r="W62" s="348"/>
      <c r="X62" s="349"/>
      <c r="Y62" s="350"/>
      <c r="Z62" s="124"/>
      <c r="AA62" s="348"/>
      <c r="AB62" s="1412"/>
      <c r="AC62" s="350"/>
      <c r="AD62" s="1413"/>
      <c r="AE62" s="371"/>
      <c r="AF62" s="1413"/>
      <c r="AG62" s="350"/>
      <c r="AH62" s="1413"/>
      <c r="AI62" s="350"/>
      <c r="AJ62" s="24"/>
      <c r="AK62" s="1414"/>
      <c r="AL62" s="72"/>
    </row>
    <row r="63" spans="2:39" ht="67.5">
      <c r="B63" s="380"/>
      <c r="C63" s="379"/>
      <c r="D63" s="379" t="s">
        <v>112</v>
      </c>
      <c r="E63" s="124"/>
      <c r="F63" s="356" t="s">
        <v>721</v>
      </c>
      <c r="G63" s="357">
        <v>1718001407</v>
      </c>
      <c r="H63" s="193"/>
      <c r="I63" s="193" t="s">
        <v>90</v>
      </c>
      <c r="J63" s="193" t="s">
        <v>79</v>
      </c>
      <c r="K63" s="205">
        <f t="shared" ref="K63:K64" si="4">+G63*0.3</f>
        <v>515400422.09999996</v>
      </c>
      <c r="L63" s="205"/>
      <c r="M63" s="205"/>
      <c r="N63" s="205"/>
      <c r="O63" s="205"/>
      <c r="P63" s="1077"/>
      <c r="Q63" s="205"/>
      <c r="R63" s="346"/>
      <c r="S63" s="205"/>
      <c r="T63" s="124"/>
      <c r="U63" s="347"/>
      <c r="V63" s="1412"/>
      <c r="W63" s="348"/>
      <c r="X63" s="349"/>
      <c r="Y63" s="350"/>
      <c r="Z63" s="124" t="s">
        <v>89</v>
      </c>
      <c r="AA63" s="347">
        <f>G63*25%</f>
        <v>429500351.75</v>
      </c>
      <c r="AB63" s="1412" t="s">
        <v>91</v>
      </c>
      <c r="AC63" s="347">
        <f>G63*25%</f>
        <v>429500351.75</v>
      </c>
      <c r="AD63" s="1413" t="s">
        <v>70</v>
      </c>
      <c r="AE63" s="1440">
        <f>G63*25%</f>
        <v>429500351.75</v>
      </c>
      <c r="AF63" s="1413" t="s">
        <v>90</v>
      </c>
      <c r="AG63" s="347">
        <f>G63*15%</f>
        <v>257700211.04999998</v>
      </c>
      <c r="AH63" s="1413" t="s">
        <v>79</v>
      </c>
      <c r="AI63" s="347">
        <f>G63*10%</f>
        <v>171800140.70000002</v>
      </c>
      <c r="AJ63" s="1441">
        <f>M63+O63+Q63+S63+U63+W63+Y63+AA63+AC63+AE63+AG63+AI63</f>
        <v>1718001407</v>
      </c>
      <c r="AK63" s="1442">
        <v>0</v>
      </c>
      <c r="AL63" s="72"/>
      <c r="AM63" s="1541">
        <v>0</v>
      </c>
    </row>
    <row r="64" spans="2:39" ht="67.5">
      <c r="B64" s="380"/>
      <c r="C64" s="379"/>
      <c r="D64" s="379" t="s">
        <v>714</v>
      </c>
      <c r="E64" s="124"/>
      <c r="F64" s="356" t="s">
        <v>722</v>
      </c>
      <c r="G64" s="357">
        <v>2700000000</v>
      </c>
      <c r="H64" s="193"/>
      <c r="I64" s="193" t="s">
        <v>90</v>
      </c>
      <c r="J64" s="193" t="s">
        <v>79</v>
      </c>
      <c r="K64" s="205">
        <f t="shared" si="4"/>
        <v>810000000</v>
      </c>
      <c r="L64" s="205"/>
      <c r="M64" s="205"/>
      <c r="N64" s="205"/>
      <c r="O64" s="205"/>
      <c r="P64" s="1077"/>
      <c r="Q64" s="205"/>
      <c r="R64" s="346"/>
      <c r="S64" s="205"/>
      <c r="T64" s="124"/>
      <c r="U64" s="347"/>
      <c r="V64" s="1412"/>
      <c r="W64" s="348"/>
      <c r="X64" s="349" t="s">
        <v>69</v>
      </c>
      <c r="Y64" s="347">
        <f>G64*10%</f>
        <v>270000000</v>
      </c>
      <c r="Z64" s="124" t="s">
        <v>89</v>
      </c>
      <c r="AA64" s="347">
        <f>G64*10%</f>
        <v>270000000</v>
      </c>
      <c r="AB64" s="1412" t="s">
        <v>91</v>
      </c>
      <c r="AC64" s="347">
        <f>G64*15%</f>
        <v>405000000</v>
      </c>
      <c r="AD64" s="1413" t="s">
        <v>671</v>
      </c>
      <c r="AE64" s="1440">
        <f>G64*20%</f>
        <v>540000000</v>
      </c>
      <c r="AF64" s="1413" t="s">
        <v>672</v>
      </c>
      <c r="AG64" s="347">
        <f>G64*20%</f>
        <v>540000000</v>
      </c>
      <c r="AH64" s="1413" t="s">
        <v>673</v>
      </c>
      <c r="AI64" s="347">
        <f>G64*25%</f>
        <v>675000000</v>
      </c>
      <c r="AJ64" s="1441">
        <f>M64+O64+Q64+S64+U64+W64+Y64+AA64+AC64+AE64+AG64+AI64</f>
        <v>2700000000</v>
      </c>
      <c r="AK64" s="1442">
        <v>0</v>
      </c>
      <c r="AL64" s="674" t="s">
        <v>3155</v>
      </c>
      <c r="AM64" s="1541"/>
    </row>
    <row r="65" spans="2:39">
      <c r="B65" s="382" t="s">
        <v>723</v>
      </c>
      <c r="C65" s="379"/>
      <c r="D65" s="379"/>
      <c r="E65" s="124"/>
      <c r="F65" s="124"/>
      <c r="G65" s="357"/>
      <c r="H65" s="193"/>
      <c r="I65" s="193"/>
      <c r="J65" s="193"/>
      <c r="K65" s="205"/>
      <c r="L65" s="205"/>
      <c r="M65" s="205"/>
      <c r="N65" s="205"/>
      <c r="O65" s="205"/>
      <c r="P65" s="1077"/>
      <c r="Q65" s="205"/>
      <c r="R65" s="346"/>
      <c r="S65" s="205"/>
      <c r="T65" s="124"/>
      <c r="U65" s="347"/>
      <c r="V65" s="1412"/>
      <c r="W65" s="348"/>
      <c r="X65" s="349"/>
      <c r="Y65" s="350"/>
      <c r="Z65" s="124"/>
      <c r="AA65" s="348"/>
      <c r="AB65" s="1412"/>
      <c r="AC65" s="350"/>
      <c r="AD65" s="1413"/>
      <c r="AE65" s="371"/>
      <c r="AF65" s="1413"/>
      <c r="AG65" s="350"/>
      <c r="AH65" s="1413"/>
      <c r="AI65" s="350"/>
      <c r="AJ65" s="24"/>
      <c r="AK65" s="1414"/>
      <c r="AL65" s="72"/>
    </row>
    <row r="66" spans="2:39">
      <c r="B66" s="382"/>
      <c r="C66" s="383"/>
      <c r="D66" s="344" t="s">
        <v>0</v>
      </c>
      <c r="E66" s="124"/>
      <c r="F66" s="124"/>
      <c r="G66" s="345">
        <v>3349978444</v>
      </c>
      <c r="H66" s="193"/>
      <c r="I66" s="193"/>
      <c r="J66" s="193"/>
      <c r="K66" s="205"/>
      <c r="L66" s="205"/>
      <c r="M66" s="205"/>
      <c r="N66" s="205"/>
      <c r="O66" s="205"/>
      <c r="P66" s="1077"/>
      <c r="Q66" s="205"/>
      <c r="R66" s="346"/>
      <c r="S66" s="205"/>
      <c r="T66" s="124"/>
      <c r="U66" s="347"/>
      <c r="V66" s="1412"/>
      <c r="W66" s="348"/>
      <c r="X66" s="349"/>
      <c r="Y66" s="350"/>
      <c r="Z66" s="124"/>
      <c r="AA66" s="348"/>
      <c r="AB66" s="1412"/>
      <c r="AC66" s="350"/>
      <c r="AD66" s="1413"/>
      <c r="AE66" s="371"/>
      <c r="AF66" s="1413"/>
      <c r="AG66" s="350"/>
      <c r="AH66" s="1413"/>
      <c r="AI66" s="350"/>
      <c r="AJ66" s="24"/>
      <c r="AK66" s="1414"/>
      <c r="AL66" s="72"/>
    </row>
    <row r="67" spans="2:39" ht="78.75">
      <c r="B67" s="364"/>
      <c r="C67" s="355"/>
      <c r="D67" s="344" t="s">
        <v>582</v>
      </c>
      <c r="E67" s="124"/>
      <c r="F67" s="356" t="s">
        <v>724</v>
      </c>
      <c r="G67" s="357">
        <f>+G59*0.08</f>
        <v>160000000</v>
      </c>
      <c r="H67" s="381" t="s">
        <v>717</v>
      </c>
      <c r="I67" s="193" t="s">
        <v>90</v>
      </c>
      <c r="J67" s="193" t="s">
        <v>79</v>
      </c>
      <c r="K67" s="205">
        <f>+G67*0.3</f>
        <v>48000000</v>
      </c>
      <c r="L67" s="205"/>
      <c r="M67" s="205"/>
      <c r="N67" s="205"/>
      <c r="O67" s="205"/>
      <c r="P67" s="1077"/>
      <c r="Q67" s="205"/>
      <c r="R67" s="346"/>
      <c r="S67" s="205"/>
      <c r="T67" s="124"/>
      <c r="U67" s="347"/>
      <c r="V67" s="1412"/>
      <c r="W67" s="348"/>
      <c r="X67" s="349"/>
      <c r="Y67" s="350"/>
      <c r="Z67" s="124"/>
      <c r="AA67" s="348"/>
      <c r="AB67" s="1412"/>
      <c r="AC67" s="350"/>
      <c r="AD67" s="1413"/>
      <c r="AE67" s="371"/>
      <c r="AF67" s="1413"/>
      <c r="AG67" s="350"/>
      <c r="AH67" s="1413"/>
      <c r="AI67" s="350"/>
      <c r="AJ67" s="24"/>
      <c r="AK67" s="1442">
        <v>0</v>
      </c>
      <c r="AL67" s="674" t="s">
        <v>3155</v>
      </c>
      <c r="AM67" s="1541">
        <v>0</v>
      </c>
    </row>
    <row r="68" spans="2:39" ht="90">
      <c r="B68" s="364"/>
      <c r="C68" s="355"/>
      <c r="D68" s="344" t="s">
        <v>114</v>
      </c>
      <c r="E68" s="124"/>
      <c r="F68" s="356" t="s">
        <v>725</v>
      </c>
      <c r="G68" s="357">
        <f>+G60*0.08</f>
        <v>160000000</v>
      </c>
      <c r="H68" s="193"/>
      <c r="I68" s="193"/>
      <c r="J68" s="193"/>
      <c r="K68" s="205"/>
      <c r="L68" s="205"/>
      <c r="M68" s="205"/>
      <c r="N68" s="205"/>
      <c r="O68" s="205"/>
      <c r="P68" s="1077"/>
      <c r="Q68" s="205"/>
      <c r="R68" s="346"/>
      <c r="S68" s="205"/>
      <c r="T68" s="124"/>
      <c r="U68" s="347"/>
      <c r="V68" s="1412"/>
      <c r="W68" s="348"/>
      <c r="X68" s="349"/>
      <c r="Y68" s="350"/>
      <c r="Z68" s="124" t="s">
        <v>89</v>
      </c>
      <c r="AA68" s="347">
        <f>G68*20%</f>
        <v>32000000</v>
      </c>
      <c r="AB68" s="1412" t="s">
        <v>91</v>
      </c>
      <c r="AC68" s="347">
        <f>G68*20%</f>
        <v>32000000</v>
      </c>
      <c r="AD68" s="1413" t="s">
        <v>70</v>
      </c>
      <c r="AE68" s="1440">
        <f>G68*20%</f>
        <v>32000000</v>
      </c>
      <c r="AF68" s="1413" t="s">
        <v>90</v>
      </c>
      <c r="AG68" s="347">
        <f>G68*20%</f>
        <v>32000000</v>
      </c>
      <c r="AH68" s="1413" t="s">
        <v>79</v>
      </c>
      <c r="AI68" s="347">
        <f>G68*20%</f>
        <v>32000000</v>
      </c>
      <c r="AJ68" s="1441">
        <f>M68+O68+Q68+S68+U68+W68+Y68+AA68+AC68+AE68+AG68+AI68</f>
        <v>160000000</v>
      </c>
      <c r="AK68" s="1442">
        <v>0</v>
      </c>
      <c r="AL68" s="674" t="s">
        <v>3155</v>
      </c>
      <c r="AM68" s="1541"/>
    </row>
    <row r="69" spans="2:39" ht="56.25">
      <c r="B69" s="351" t="s">
        <v>726</v>
      </c>
      <c r="C69" s="352">
        <f>SUM(G70:G71)</f>
        <v>9953000000</v>
      </c>
      <c r="D69" s="344"/>
      <c r="E69" s="124"/>
      <c r="F69" s="124"/>
      <c r="G69" s="353"/>
      <c r="H69" s="193"/>
      <c r="I69" s="193"/>
      <c r="J69" s="193"/>
      <c r="K69" s="205"/>
      <c r="L69" s="205"/>
      <c r="M69" s="205"/>
      <c r="N69" s="205"/>
      <c r="O69" s="205"/>
      <c r="P69" s="1077"/>
      <c r="Q69" s="205"/>
      <c r="R69" s="346"/>
      <c r="S69" s="205"/>
      <c r="T69" s="124"/>
      <c r="U69" s="347"/>
      <c r="V69" s="1412"/>
      <c r="W69" s="348"/>
      <c r="X69" s="349"/>
      <c r="Y69" s="350"/>
      <c r="Z69" s="124"/>
      <c r="AA69" s="348"/>
      <c r="AB69" s="1412"/>
      <c r="AC69" s="350"/>
      <c r="AD69" s="1413"/>
      <c r="AE69" s="371"/>
      <c r="AF69" s="1413"/>
      <c r="AG69" s="350"/>
      <c r="AH69" s="1413"/>
      <c r="AI69" s="350"/>
      <c r="AJ69" s="24"/>
      <c r="AK69" s="1414"/>
      <c r="AL69" s="72"/>
    </row>
    <row r="70" spans="2:39" ht="112.5">
      <c r="B70" s="364"/>
      <c r="C70" s="384"/>
      <c r="D70" s="344" t="s">
        <v>112</v>
      </c>
      <c r="E70" s="124"/>
      <c r="F70" s="356" t="s">
        <v>727</v>
      </c>
      <c r="G70" s="385">
        <v>9216000000</v>
      </c>
      <c r="H70" s="193"/>
      <c r="I70" s="193"/>
      <c r="J70" s="193"/>
      <c r="K70" s="205"/>
      <c r="L70" s="205"/>
      <c r="M70" s="205"/>
      <c r="N70" s="205"/>
      <c r="O70" s="205"/>
      <c r="P70" s="1077"/>
      <c r="Q70" s="205"/>
      <c r="R70" s="346"/>
      <c r="S70" s="205"/>
      <c r="T70" s="124"/>
      <c r="U70" s="347"/>
      <c r="V70" s="1412"/>
      <c r="W70" s="348"/>
      <c r="X70" s="349"/>
      <c r="Y70" s="350"/>
      <c r="Z70" s="124"/>
      <c r="AA70" s="348"/>
      <c r="AB70" s="1412"/>
      <c r="AC70" s="350"/>
      <c r="AD70" s="1413"/>
      <c r="AE70" s="371"/>
      <c r="AF70" s="1413"/>
      <c r="AG70" s="350"/>
      <c r="AH70" s="1413"/>
      <c r="AI70" s="350"/>
      <c r="AJ70" s="24"/>
      <c r="AK70" s="1357">
        <v>0.5</v>
      </c>
      <c r="AL70" s="72"/>
      <c r="AM70" s="1541">
        <v>0.5</v>
      </c>
    </row>
    <row r="71" spans="2:39" ht="135">
      <c r="B71" s="364"/>
      <c r="C71" s="384"/>
      <c r="D71" s="344" t="s">
        <v>112</v>
      </c>
      <c r="E71" s="124"/>
      <c r="F71" s="356" t="s">
        <v>728</v>
      </c>
      <c r="G71" s="385">
        <v>737000000</v>
      </c>
      <c r="H71" s="193"/>
      <c r="I71" s="193"/>
      <c r="J71" s="193"/>
      <c r="K71" s="205"/>
      <c r="L71" s="205"/>
      <c r="M71" s="205"/>
      <c r="N71" s="205"/>
      <c r="O71" s="205"/>
      <c r="P71" s="1077"/>
      <c r="Q71" s="205"/>
      <c r="R71" s="346"/>
      <c r="S71" s="205"/>
      <c r="T71" s="124"/>
      <c r="U71" s="347"/>
      <c r="V71" s="1412"/>
      <c r="W71" s="348"/>
      <c r="X71" s="349"/>
      <c r="Y71" s="350"/>
      <c r="Z71" s="124"/>
      <c r="AA71" s="348"/>
      <c r="AB71" s="1412"/>
      <c r="AC71" s="350"/>
      <c r="AD71" s="1413"/>
      <c r="AE71" s="371"/>
      <c r="AF71" s="1413"/>
      <c r="AG71" s="350"/>
      <c r="AH71" s="1413"/>
      <c r="AI71" s="350"/>
      <c r="AJ71" s="24"/>
      <c r="AK71" s="1357">
        <v>0.5</v>
      </c>
      <c r="AL71" s="72"/>
      <c r="AM71" s="1541"/>
    </row>
    <row r="72" spans="2:39" ht="33.75">
      <c r="B72" s="351" t="s">
        <v>729</v>
      </c>
      <c r="C72" s="352">
        <f>SUM(G74:G81)</f>
        <v>6326000000</v>
      </c>
      <c r="D72" s="386"/>
      <c r="E72" s="124"/>
      <c r="F72" s="124"/>
      <c r="G72" s="353"/>
      <c r="H72" s="193"/>
      <c r="I72" s="193"/>
      <c r="J72" s="193"/>
      <c r="K72" s="205"/>
      <c r="L72" s="205"/>
      <c r="M72" s="205"/>
      <c r="N72" s="205"/>
      <c r="O72" s="205"/>
      <c r="P72" s="1077"/>
      <c r="Q72" s="205"/>
      <c r="R72" s="346"/>
      <c r="S72" s="205"/>
      <c r="T72" s="124"/>
      <c r="U72" s="347"/>
      <c r="V72" s="1412"/>
      <c r="W72" s="348"/>
      <c r="X72" s="349"/>
      <c r="Y72" s="350"/>
      <c r="Z72" s="124"/>
      <c r="AA72" s="348"/>
      <c r="AB72" s="1412"/>
      <c r="AC72" s="350"/>
      <c r="AD72" s="1413"/>
      <c r="AE72" s="371"/>
      <c r="AF72" s="1413"/>
      <c r="AG72" s="350"/>
      <c r="AH72" s="1413"/>
      <c r="AI72" s="350"/>
      <c r="AJ72" s="24"/>
      <c r="AK72" s="1450"/>
      <c r="AL72" s="72"/>
    </row>
    <row r="73" spans="2:39">
      <c r="B73" s="364"/>
      <c r="C73" s="387"/>
      <c r="D73" s="344" t="s">
        <v>730</v>
      </c>
      <c r="E73" s="124"/>
      <c r="F73" s="1669" t="s">
        <v>731</v>
      </c>
      <c r="G73" s="388">
        <v>400000000</v>
      </c>
      <c r="H73" s="193"/>
      <c r="I73" s="193"/>
      <c r="J73" s="193"/>
      <c r="K73" s="205"/>
      <c r="L73" s="205"/>
      <c r="M73" s="205"/>
      <c r="N73" s="205"/>
      <c r="O73" s="205"/>
      <c r="P73" s="1077"/>
      <c r="Q73" s="205"/>
      <c r="R73" s="346"/>
      <c r="S73" s="205"/>
      <c r="T73" s="124"/>
      <c r="U73" s="347"/>
      <c r="V73" s="1412"/>
      <c r="W73" s="348"/>
      <c r="X73" s="349"/>
      <c r="Y73" s="350"/>
      <c r="Z73" s="124"/>
      <c r="AA73" s="348"/>
      <c r="AB73" s="1412"/>
      <c r="AC73" s="350"/>
      <c r="AD73" s="1413"/>
      <c r="AE73" s="371"/>
      <c r="AF73" s="1413"/>
      <c r="AG73" s="350"/>
      <c r="AH73" s="1413"/>
      <c r="AI73" s="350"/>
      <c r="AJ73" s="24"/>
      <c r="AK73" s="1414"/>
      <c r="AL73" s="72"/>
      <c r="AM73" s="1541">
        <v>0</v>
      </c>
    </row>
    <row r="74" spans="2:39">
      <c r="B74" s="364"/>
      <c r="C74" s="387"/>
      <c r="D74" s="344" t="s">
        <v>732</v>
      </c>
      <c r="E74" s="124"/>
      <c r="F74" s="1670"/>
      <c r="G74" s="388">
        <v>270000000</v>
      </c>
      <c r="H74" s="193"/>
      <c r="I74" s="193"/>
      <c r="J74" s="193"/>
      <c r="K74" s="205"/>
      <c r="L74" s="205"/>
      <c r="M74" s="205"/>
      <c r="N74" s="205"/>
      <c r="O74" s="205"/>
      <c r="P74" s="1077"/>
      <c r="Q74" s="205"/>
      <c r="R74" s="346"/>
      <c r="S74" s="205"/>
      <c r="T74" s="124"/>
      <c r="U74" s="347"/>
      <c r="V74" s="1412"/>
      <c r="W74" s="348"/>
      <c r="X74" s="349"/>
      <c r="Y74" s="350"/>
      <c r="Z74" s="124"/>
      <c r="AA74" s="348"/>
      <c r="AB74" s="1412"/>
      <c r="AC74" s="350"/>
      <c r="AD74" s="1413"/>
      <c r="AE74" s="371"/>
      <c r="AF74" s="1413"/>
      <c r="AG74" s="350"/>
      <c r="AH74" s="1413"/>
      <c r="AI74" s="350"/>
      <c r="AJ74" s="24"/>
      <c r="AK74" s="1414"/>
      <c r="AL74" s="72"/>
      <c r="AM74" s="1541"/>
    </row>
    <row r="75" spans="2:39">
      <c r="B75" s="364"/>
      <c r="C75" s="387"/>
      <c r="D75" s="344" t="s">
        <v>733</v>
      </c>
      <c r="E75" s="124"/>
      <c r="F75" s="1670"/>
      <c r="G75" s="388">
        <v>400000000</v>
      </c>
      <c r="H75" s="193"/>
      <c r="I75" s="193"/>
      <c r="J75" s="193"/>
      <c r="K75" s="205"/>
      <c r="L75" s="205"/>
      <c r="M75" s="205"/>
      <c r="N75" s="205"/>
      <c r="O75" s="205"/>
      <c r="P75" s="1077"/>
      <c r="Q75" s="205"/>
      <c r="R75" s="346"/>
      <c r="S75" s="205"/>
      <c r="T75" s="124"/>
      <c r="U75" s="347"/>
      <c r="V75" s="1412"/>
      <c r="W75" s="348"/>
      <c r="X75" s="349"/>
      <c r="Y75" s="350"/>
      <c r="Z75" s="124"/>
      <c r="AA75" s="348"/>
      <c r="AB75" s="1412"/>
      <c r="AC75" s="350"/>
      <c r="AD75" s="1413"/>
      <c r="AE75" s="371"/>
      <c r="AF75" s="1413"/>
      <c r="AG75" s="350"/>
      <c r="AH75" s="1413"/>
      <c r="AI75" s="350"/>
      <c r="AJ75" s="24"/>
      <c r="AK75" s="1414"/>
      <c r="AL75" s="72"/>
      <c r="AM75" s="1541"/>
    </row>
    <row r="76" spans="2:39">
      <c r="B76" s="364"/>
      <c r="C76" s="387"/>
      <c r="D76" s="344" t="s">
        <v>105</v>
      </c>
      <c r="E76" s="124"/>
      <c r="F76" s="1670"/>
      <c r="G76" s="388">
        <v>400000000</v>
      </c>
      <c r="H76" s="193"/>
      <c r="I76" s="193"/>
      <c r="J76" s="193"/>
      <c r="K76" s="205"/>
      <c r="L76" s="205"/>
      <c r="M76" s="205"/>
      <c r="N76" s="205"/>
      <c r="O76" s="205"/>
      <c r="P76" s="1077"/>
      <c r="Q76" s="205"/>
      <c r="R76" s="346"/>
      <c r="S76" s="205"/>
      <c r="T76" s="124"/>
      <c r="U76" s="347"/>
      <c r="V76" s="1412"/>
      <c r="W76" s="348"/>
      <c r="X76" s="349"/>
      <c r="Y76" s="350"/>
      <c r="Z76" s="124"/>
      <c r="AA76" s="348"/>
      <c r="AB76" s="1412"/>
      <c r="AC76" s="350"/>
      <c r="AD76" s="1413"/>
      <c r="AE76" s="371"/>
      <c r="AF76" s="1413"/>
      <c r="AG76" s="350"/>
      <c r="AH76" s="1413"/>
      <c r="AI76" s="350"/>
      <c r="AJ76" s="24"/>
      <c r="AK76" s="1414"/>
      <c r="AL76" s="72"/>
      <c r="AM76" s="1541"/>
    </row>
    <row r="77" spans="2:39">
      <c r="B77" s="364"/>
      <c r="C77" s="387"/>
      <c r="D77" s="344" t="s">
        <v>734</v>
      </c>
      <c r="E77" s="124"/>
      <c r="F77" s="1670"/>
      <c r="G77" s="388">
        <v>400000000</v>
      </c>
      <c r="H77" s="193"/>
      <c r="I77" s="193"/>
      <c r="J77" s="193"/>
      <c r="K77" s="205"/>
      <c r="L77" s="205"/>
      <c r="M77" s="205"/>
      <c r="N77" s="205"/>
      <c r="O77" s="205"/>
      <c r="P77" s="1077"/>
      <c r="Q77" s="205"/>
      <c r="R77" s="346"/>
      <c r="S77" s="205"/>
      <c r="T77" s="124"/>
      <c r="U77" s="347"/>
      <c r="V77" s="1412"/>
      <c r="W77" s="348"/>
      <c r="X77" s="349"/>
      <c r="Y77" s="350"/>
      <c r="Z77" s="124"/>
      <c r="AA77" s="348"/>
      <c r="AB77" s="1412"/>
      <c r="AC77" s="350"/>
      <c r="AD77" s="1413"/>
      <c r="AE77" s="371"/>
      <c r="AF77" s="1413"/>
      <c r="AG77" s="350"/>
      <c r="AH77" s="1413"/>
      <c r="AI77" s="350"/>
      <c r="AJ77" s="24"/>
      <c r="AK77" s="1414"/>
      <c r="AL77" s="72"/>
      <c r="AM77" s="1541"/>
    </row>
    <row r="78" spans="2:39">
      <c r="B78" s="364"/>
      <c r="C78" s="387"/>
      <c r="D78" s="344" t="s">
        <v>735</v>
      </c>
      <c r="E78" s="124"/>
      <c r="F78" s="1671"/>
      <c r="G78" s="388">
        <v>400000000</v>
      </c>
      <c r="H78" s="193"/>
      <c r="I78" s="193"/>
      <c r="J78" s="193"/>
      <c r="K78" s="205"/>
      <c r="L78" s="205"/>
      <c r="M78" s="205"/>
      <c r="N78" s="205"/>
      <c r="O78" s="205"/>
      <c r="P78" s="1077"/>
      <c r="Q78" s="205"/>
      <c r="R78" s="346"/>
      <c r="S78" s="205"/>
      <c r="T78" s="124"/>
      <c r="U78" s="347"/>
      <c r="V78" s="1412"/>
      <c r="W78" s="348"/>
      <c r="X78" s="349"/>
      <c r="Y78" s="350"/>
      <c r="Z78" s="124"/>
      <c r="AA78" s="348"/>
      <c r="AB78" s="1412"/>
      <c r="AC78" s="350"/>
      <c r="AD78" s="1413"/>
      <c r="AE78" s="371"/>
      <c r="AF78" s="1413"/>
      <c r="AG78" s="350"/>
      <c r="AH78" s="1413"/>
      <c r="AI78" s="350"/>
      <c r="AJ78" s="24"/>
      <c r="AK78" s="1414"/>
      <c r="AL78" s="72"/>
      <c r="AM78" s="1541"/>
    </row>
    <row r="79" spans="2:39">
      <c r="B79" s="364"/>
      <c r="C79" s="384"/>
      <c r="D79" s="1451" t="s">
        <v>736</v>
      </c>
      <c r="E79" s="124"/>
      <c r="F79" s="124"/>
      <c r="G79" s="345">
        <v>850000000</v>
      </c>
      <c r="H79" s="381" t="s">
        <v>737</v>
      </c>
      <c r="I79" s="193"/>
      <c r="J79" s="193"/>
      <c r="K79" s="205"/>
      <c r="L79" s="205"/>
      <c r="M79" s="205"/>
      <c r="N79" s="205"/>
      <c r="O79" s="205"/>
      <c r="P79" s="1077"/>
      <c r="Q79" s="205"/>
      <c r="R79" s="346"/>
      <c r="S79" s="205"/>
      <c r="T79" s="124"/>
      <c r="U79" s="347"/>
      <c r="V79" s="1412"/>
      <c r="W79" s="348"/>
      <c r="X79" s="349"/>
      <c r="Y79" s="350"/>
      <c r="Z79" s="124"/>
      <c r="AA79" s="348"/>
      <c r="AB79" s="1412"/>
      <c r="AC79" s="350"/>
      <c r="AD79" s="1413"/>
      <c r="AE79" s="371"/>
      <c r="AF79" s="1413"/>
      <c r="AG79" s="350"/>
      <c r="AH79" s="1413"/>
      <c r="AI79" s="350"/>
      <c r="AJ79" s="24"/>
      <c r="AK79" s="1414"/>
      <c r="AL79" s="72"/>
      <c r="AM79" s="1541"/>
    </row>
    <row r="80" spans="2:39">
      <c r="B80" s="364"/>
      <c r="C80" s="384"/>
      <c r="D80" s="344" t="s">
        <v>163</v>
      </c>
      <c r="E80" s="124"/>
      <c r="F80" s="124"/>
      <c r="G80" s="345">
        <v>1606000000</v>
      </c>
      <c r="H80" s="193" t="s">
        <v>13</v>
      </c>
      <c r="I80" s="373" t="s">
        <v>89</v>
      </c>
      <c r="J80" s="193" t="s">
        <v>89</v>
      </c>
      <c r="K80" s="205">
        <f>+G80*0.3</f>
        <v>481800000</v>
      </c>
      <c r="L80" s="205"/>
      <c r="M80" s="205"/>
      <c r="N80" s="205"/>
      <c r="O80" s="205"/>
      <c r="P80" s="1077"/>
      <c r="Q80" s="205"/>
      <c r="R80" s="346"/>
      <c r="S80" s="205"/>
      <c r="T80" s="193"/>
      <c r="U80" s="347"/>
      <c r="V80" s="1432"/>
      <c r="W80" s="374"/>
      <c r="X80" s="375"/>
      <c r="Y80" s="371"/>
      <c r="Z80" s="193"/>
      <c r="AA80" s="374"/>
      <c r="AB80" s="1432"/>
      <c r="AC80" s="371"/>
      <c r="AD80" s="1433" t="s">
        <v>70</v>
      </c>
      <c r="AE80" s="1440">
        <f>+G80*0.2</f>
        <v>321200000</v>
      </c>
      <c r="AF80" s="1433" t="s">
        <v>90</v>
      </c>
      <c r="AG80" s="374">
        <f>+G80*0.3</f>
        <v>481800000</v>
      </c>
      <c r="AH80" s="1433" t="s">
        <v>79</v>
      </c>
      <c r="AI80" s="374">
        <f>+G80*0.2</f>
        <v>321200000</v>
      </c>
      <c r="AJ80" s="1452">
        <f>K80+AE80+AG80+AI80</f>
        <v>1606000000</v>
      </c>
      <c r="AK80" s="1442">
        <v>0</v>
      </c>
      <c r="AL80" s="72" t="s">
        <v>3156</v>
      </c>
      <c r="AM80" s="1541"/>
    </row>
    <row r="81" spans="2:39">
      <c r="B81" s="364"/>
      <c r="C81" s="384"/>
      <c r="D81" s="344" t="s">
        <v>738</v>
      </c>
      <c r="E81" s="124"/>
      <c r="F81" s="124"/>
      <c r="G81" s="345">
        <v>2000000000</v>
      </c>
      <c r="H81" s="193" t="s">
        <v>13</v>
      </c>
      <c r="I81" s="373" t="s">
        <v>89</v>
      </c>
      <c r="J81" s="193" t="s">
        <v>89</v>
      </c>
      <c r="K81" s="205">
        <f>+G81*0.3</f>
        <v>600000000</v>
      </c>
      <c r="L81" s="205"/>
      <c r="M81" s="205"/>
      <c r="N81" s="205"/>
      <c r="O81" s="205"/>
      <c r="P81" s="1077"/>
      <c r="Q81" s="205"/>
      <c r="R81" s="346"/>
      <c r="S81" s="205"/>
      <c r="T81" s="193"/>
      <c r="U81" s="347"/>
      <c r="V81" s="1432"/>
      <c r="W81" s="374"/>
      <c r="X81" s="375"/>
      <c r="Y81" s="371"/>
      <c r="Z81" s="193"/>
      <c r="AA81" s="374"/>
      <c r="AB81" s="1432"/>
      <c r="AC81" s="371"/>
      <c r="AD81" s="1433" t="s">
        <v>70</v>
      </c>
      <c r="AE81" s="1440">
        <f>+G81*0.2</f>
        <v>400000000</v>
      </c>
      <c r="AF81" s="1433" t="s">
        <v>90</v>
      </c>
      <c r="AG81" s="374">
        <f>+G81*0.3</f>
        <v>600000000</v>
      </c>
      <c r="AH81" s="1433" t="s">
        <v>79</v>
      </c>
      <c r="AI81" s="374">
        <f>+G81*0.2</f>
        <v>400000000</v>
      </c>
      <c r="AJ81" s="1452">
        <f>+AC81+AA81+W81+U81+K81</f>
        <v>600000000</v>
      </c>
      <c r="AK81" s="1442">
        <v>0</v>
      </c>
      <c r="AL81" s="72" t="s">
        <v>3156</v>
      </c>
      <c r="AM81" s="1541"/>
    </row>
    <row r="82" spans="2:39" ht="90">
      <c r="B82" s="351" t="s">
        <v>74</v>
      </c>
      <c r="C82" s="352">
        <f>SUM(G85:G127)</f>
        <v>124921336400</v>
      </c>
      <c r="D82" s="386"/>
      <c r="E82" s="389"/>
      <c r="F82" s="359"/>
      <c r="G82" s="353"/>
      <c r="H82" s="193"/>
      <c r="I82" s="193"/>
      <c r="J82" s="193"/>
      <c r="K82" s="205"/>
      <c r="L82" s="205"/>
      <c r="M82" s="205"/>
      <c r="N82" s="205"/>
      <c r="O82" s="205"/>
      <c r="P82" s="1077"/>
      <c r="Q82" s="205"/>
      <c r="R82" s="346"/>
      <c r="S82" s="205"/>
      <c r="T82" s="124"/>
      <c r="U82" s="347"/>
      <c r="V82" s="1412"/>
      <c r="W82" s="348"/>
      <c r="X82" s="349"/>
      <c r="Y82" s="350"/>
      <c r="Z82" s="124"/>
      <c r="AA82" s="348"/>
      <c r="AB82" s="1412"/>
      <c r="AC82" s="350"/>
      <c r="AD82" s="1413"/>
      <c r="AE82" s="371"/>
      <c r="AF82" s="1413"/>
      <c r="AG82" s="350"/>
      <c r="AH82" s="1413"/>
      <c r="AI82" s="350"/>
      <c r="AJ82" s="24"/>
      <c r="AK82" s="1414"/>
      <c r="AL82" s="72"/>
    </row>
    <row r="83" spans="2:39">
      <c r="B83" s="364"/>
      <c r="C83" s="384"/>
      <c r="D83" s="344"/>
      <c r="E83" s="124"/>
      <c r="F83" s="124"/>
      <c r="G83" s="345"/>
      <c r="H83" s="193"/>
      <c r="I83" s="193"/>
      <c r="J83" s="193"/>
      <c r="K83" s="205"/>
      <c r="L83" s="205"/>
      <c r="M83" s="205"/>
      <c r="N83" s="205"/>
      <c r="O83" s="205"/>
      <c r="P83" s="1077"/>
      <c r="Q83" s="205"/>
      <c r="R83" s="346"/>
      <c r="S83" s="205"/>
      <c r="T83" s="124"/>
      <c r="U83" s="347"/>
      <c r="V83" s="1412"/>
      <c r="W83" s="348"/>
      <c r="X83" s="349"/>
      <c r="Y83" s="350"/>
      <c r="Z83" s="124"/>
      <c r="AA83" s="348"/>
      <c r="AB83" s="1412"/>
      <c r="AC83" s="350"/>
      <c r="AD83" s="1413"/>
      <c r="AE83" s="371"/>
      <c r="AF83" s="1413"/>
      <c r="AG83" s="350"/>
      <c r="AH83" s="1413"/>
      <c r="AI83" s="350"/>
      <c r="AJ83" s="24"/>
      <c r="AK83" s="1414"/>
      <c r="AL83" s="72"/>
    </row>
    <row r="84" spans="2:39" ht="33.75">
      <c r="B84" s="362" t="s">
        <v>739</v>
      </c>
      <c r="C84" s="387"/>
      <c r="D84" s="379"/>
      <c r="E84" s="124"/>
      <c r="F84" s="124"/>
      <c r="G84" s="390"/>
      <c r="H84" s="391"/>
      <c r="I84" s="373"/>
      <c r="J84" s="193"/>
      <c r="K84" s="205"/>
      <c r="L84" s="205"/>
      <c r="M84" s="205"/>
      <c r="N84" s="205"/>
      <c r="O84" s="205"/>
      <c r="P84" s="1077"/>
      <c r="Q84" s="205"/>
      <c r="R84" s="346"/>
      <c r="S84" s="205"/>
      <c r="T84" s="124"/>
      <c r="U84" s="347"/>
      <c r="V84" s="1412"/>
      <c r="W84" s="348"/>
      <c r="X84" s="349"/>
      <c r="Y84" s="350"/>
      <c r="Z84" s="124"/>
      <c r="AA84" s="348"/>
      <c r="AB84" s="1412"/>
      <c r="AC84" s="350"/>
      <c r="AD84" s="1413"/>
      <c r="AE84" s="371"/>
      <c r="AF84" s="1413"/>
      <c r="AG84" s="350"/>
      <c r="AH84" s="1413"/>
      <c r="AI84" s="350"/>
      <c r="AJ84" s="24"/>
      <c r="AK84" s="1414"/>
      <c r="AL84" s="72"/>
    </row>
    <row r="85" spans="2:39" ht="67.5">
      <c r="B85" s="364"/>
      <c r="C85" s="387"/>
      <c r="D85" s="379" t="s">
        <v>740</v>
      </c>
      <c r="E85" s="124"/>
      <c r="F85" s="392" t="s">
        <v>741</v>
      </c>
      <c r="G85" s="390">
        <f>+G91*0.5</f>
        <v>1050500000</v>
      </c>
      <c r="H85" s="193" t="s">
        <v>6</v>
      </c>
      <c r="I85" s="373" t="s">
        <v>69</v>
      </c>
      <c r="J85" s="193" t="str">
        <f>+J91</f>
        <v>JULIO</v>
      </c>
      <c r="K85" s="205">
        <f>+G85*0.3</f>
        <v>315150000</v>
      </c>
      <c r="L85" s="205"/>
      <c r="M85" s="205"/>
      <c r="N85" s="205"/>
      <c r="O85" s="205"/>
      <c r="P85" s="1077"/>
      <c r="Q85" s="205"/>
      <c r="R85" s="346"/>
      <c r="S85" s="205"/>
      <c r="T85" s="193"/>
      <c r="U85" s="347"/>
      <c r="V85" s="1432"/>
      <c r="W85" s="374"/>
      <c r="X85" s="375"/>
      <c r="Y85" s="371"/>
      <c r="Z85" s="193"/>
      <c r="AA85" s="374"/>
      <c r="AB85" s="1432" t="s">
        <v>91</v>
      </c>
      <c r="AC85" s="347">
        <f>+G85*0.2</f>
        <v>210100000</v>
      </c>
      <c r="AD85" s="1433" t="s">
        <v>70</v>
      </c>
      <c r="AE85" s="374">
        <f>+G85*0.3</f>
        <v>315150000</v>
      </c>
      <c r="AF85" s="1433" t="s">
        <v>90</v>
      </c>
      <c r="AG85" s="374">
        <f>+G85*0.15</f>
        <v>157575000</v>
      </c>
      <c r="AH85" s="1432" t="s">
        <v>79</v>
      </c>
      <c r="AI85" s="371">
        <f>+G85*0.05</f>
        <v>52525000</v>
      </c>
      <c r="AJ85" s="1452">
        <f>K85+AC85+AE85+AG85+AI85</f>
        <v>1050500000</v>
      </c>
      <c r="AK85" s="1442">
        <v>0</v>
      </c>
      <c r="AL85" s="72" t="s">
        <v>3157</v>
      </c>
      <c r="AM85" s="1541">
        <v>0</v>
      </c>
    </row>
    <row r="86" spans="2:39" ht="56.25">
      <c r="B86" s="364"/>
      <c r="C86" s="387"/>
      <c r="D86" s="379" t="s">
        <v>496</v>
      </c>
      <c r="E86" s="124"/>
      <c r="F86" s="392" t="s">
        <v>742</v>
      </c>
      <c r="G86" s="390">
        <f>+G92*0.5</f>
        <v>1100000000</v>
      </c>
      <c r="H86" s="193" t="s">
        <v>6</v>
      </c>
      <c r="I86" s="373" t="s">
        <v>69</v>
      </c>
      <c r="J86" s="193" t="str">
        <f>+J92</f>
        <v>JULIO</v>
      </c>
      <c r="K86" s="205">
        <f>+G86*0.3</f>
        <v>330000000</v>
      </c>
      <c r="L86" s="205"/>
      <c r="M86" s="205"/>
      <c r="N86" s="205"/>
      <c r="O86" s="205"/>
      <c r="P86" s="1077"/>
      <c r="Q86" s="205"/>
      <c r="R86" s="346"/>
      <c r="S86" s="205"/>
      <c r="T86" s="193"/>
      <c r="U86" s="347"/>
      <c r="V86" s="1432"/>
      <c r="W86" s="374"/>
      <c r="X86" s="375"/>
      <c r="Y86" s="371"/>
      <c r="Z86" s="193"/>
      <c r="AA86" s="374"/>
      <c r="AB86" s="1432" t="s">
        <v>91</v>
      </c>
      <c r="AC86" s="347">
        <f>+G86*0.2</f>
        <v>220000000</v>
      </c>
      <c r="AD86" s="1433" t="s">
        <v>70</v>
      </c>
      <c r="AE86" s="374">
        <f>+G86*0.3</f>
        <v>330000000</v>
      </c>
      <c r="AF86" s="1433" t="s">
        <v>90</v>
      </c>
      <c r="AG86" s="374">
        <f>+G86*0.15</f>
        <v>165000000</v>
      </c>
      <c r="AH86" s="1432" t="s">
        <v>79</v>
      </c>
      <c r="AI86" s="371">
        <f>+G86*0.05</f>
        <v>55000000</v>
      </c>
      <c r="AJ86" s="1452">
        <f>K86+AC86+AE86+AG86+AI86</f>
        <v>1100000000</v>
      </c>
      <c r="AK86" s="1442">
        <v>0</v>
      </c>
      <c r="AL86" s="72"/>
      <c r="AM86" s="1541"/>
    </row>
    <row r="87" spans="2:39" ht="56.25">
      <c r="B87" s="364"/>
      <c r="C87" s="387"/>
      <c r="D87" s="379" t="s">
        <v>424</v>
      </c>
      <c r="E87" s="124"/>
      <c r="F87" s="392" t="s">
        <v>743</v>
      </c>
      <c r="G87" s="390">
        <f>+G94*0.5</f>
        <v>1050000000</v>
      </c>
      <c r="H87" s="193" t="s">
        <v>6</v>
      </c>
      <c r="I87" s="373" t="s">
        <v>69</v>
      </c>
      <c r="J87" s="193" t="str">
        <f>+J94</f>
        <v>JULIO</v>
      </c>
      <c r="K87" s="205">
        <f>+G87*0.3</f>
        <v>315000000</v>
      </c>
      <c r="L87" s="205"/>
      <c r="M87" s="205"/>
      <c r="N87" s="205"/>
      <c r="O87" s="205"/>
      <c r="P87" s="1077"/>
      <c r="Q87" s="205"/>
      <c r="R87" s="346"/>
      <c r="S87" s="205"/>
      <c r="T87" s="193"/>
      <c r="U87" s="347"/>
      <c r="V87" s="1432"/>
      <c r="W87" s="374"/>
      <c r="X87" s="375"/>
      <c r="Y87" s="371"/>
      <c r="Z87" s="193"/>
      <c r="AA87" s="374" t="s">
        <v>73</v>
      </c>
      <c r="AB87" s="1432" t="s">
        <v>91</v>
      </c>
      <c r="AC87" s="347">
        <f>+G87*0.2</f>
        <v>210000000</v>
      </c>
      <c r="AD87" s="1433" t="s">
        <v>70</v>
      </c>
      <c r="AE87" s="374">
        <f>+G87*0.3</f>
        <v>315000000</v>
      </c>
      <c r="AF87" s="1433" t="s">
        <v>90</v>
      </c>
      <c r="AG87" s="374">
        <f>+G87*0.15</f>
        <v>157500000</v>
      </c>
      <c r="AH87" s="1432" t="s">
        <v>79</v>
      </c>
      <c r="AI87" s="371">
        <f>+G87*0.05</f>
        <v>52500000</v>
      </c>
      <c r="AJ87" s="1452">
        <f>K87+AC87+AE87+AG87+AI87</f>
        <v>1050000000</v>
      </c>
      <c r="AK87" s="1442">
        <v>0</v>
      </c>
      <c r="AL87" s="72"/>
      <c r="AM87" s="1541"/>
    </row>
    <row r="88" spans="2:39" ht="56.25">
      <c r="B88" s="364"/>
      <c r="C88" s="387"/>
      <c r="D88" s="379" t="s">
        <v>109</v>
      </c>
      <c r="E88" s="124"/>
      <c r="F88" s="392" t="s">
        <v>744</v>
      </c>
      <c r="G88" s="390">
        <v>2000000000</v>
      </c>
      <c r="H88" s="193" t="s">
        <v>13</v>
      </c>
      <c r="I88" s="373" t="s">
        <v>89</v>
      </c>
      <c r="J88" s="193" t="s">
        <v>89</v>
      </c>
      <c r="K88" s="205">
        <f>+G88*0.3</f>
        <v>600000000</v>
      </c>
      <c r="L88" s="205"/>
      <c r="M88" s="205"/>
      <c r="N88" s="205"/>
      <c r="O88" s="205"/>
      <c r="P88" s="1077"/>
      <c r="Q88" s="205"/>
      <c r="R88" s="346"/>
      <c r="S88" s="205"/>
      <c r="T88" s="193"/>
      <c r="U88" s="347"/>
      <c r="V88" s="1432"/>
      <c r="W88" s="374"/>
      <c r="X88" s="375"/>
      <c r="Y88" s="371"/>
      <c r="Z88" s="193"/>
      <c r="AA88" s="374"/>
      <c r="AB88" s="1432"/>
      <c r="AC88" s="371"/>
      <c r="AD88" s="1433" t="s">
        <v>70</v>
      </c>
      <c r="AE88" s="1440">
        <f>+G88*0.2</f>
        <v>400000000</v>
      </c>
      <c r="AF88" s="1433" t="s">
        <v>90</v>
      </c>
      <c r="AG88" s="374">
        <f>+G88*0.3</f>
        <v>600000000</v>
      </c>
      <c r="AH88" s="1432" t="s">
        <v>79</v>
      </c>
      <c r="AI88" s="374">
        <f>+G88*0.2</f>
        <v>400000000</v>
      </c>
      <c r="AJ88" s="1452">
        <f>K88+AC88+AE88+AG88+AI88</f>
        <v>2000000000</v>
      </c>
      <c r="AK88" s="1442">
        <v>0</v>
      </c>
      <c r="AL88" s="72"/>
      <c r="AM88" s="1541"/>
    </row>
    <row r="89" spans="2:39" ht="67.5">
      <c r="B89" s="364"/>
      <c r="C89" s="387"/>
      <c r="D89" s="379" t="s">
        <v>491</v>
      </c>
      <c r="E89" s="124"/>
      <c r="F89" s="392" t="s">
        <v>745</v>
      </c>
      <c r="G89" s="393">
        <f>+G106*0.5</f>
        <v>1400000000</v>
      </c>
      <c r="H89" s="193" t="s">
        <v>13</v>
      </c>
      <c r="I89" s="373" t="s">
        <v>89</v>
      </c>
      <c r="J89" s="193" t="str">
        <f>+J106</f>
        <v>AGOSTO</v>
      </c>
      <c r="K89" s="205">
        <f>+G89*0.3</f>
        <v>420000000</v>
      </c>
      <c r="L89" s="205"/>
      <c r="M89" s="205"/>
      <c r="N89" s="205"/>
      <c r="O89" s="205"/>
      <c r="P89" s="1077"/>
      <c r="Q89" s="205"/>
      <c r="R89" s="346"/>
      <c r="S89" s="205"/>
      <c r="T89" s="193"/>
      <c r="U89" s="347"/>
      <c r="V89" s="1432"/>
      <c r="W89" s="374"/>
      <c r="X89" s="375"/>
      <c r="Y89" s="371"/>
      <c r="Z89" s="193"/>
      <c r="AA89" s="374"/>
      <c r="AB89" s="1432"/>
      <c r="AC89" s="371"/>
      <c r="AD89" s="1433" t="s">
        <v>70</v>
      </c>
      <c r="AE89" s="1440">
        <f>+G89*0.2</f>
        <v>280000000</v>
      </c>
      <c r="AF89" s="1433" t="s">
        <v>90</v>
      </c>
      <c r="AG89" s="374">
        <f>+G89*0.3</f>
        <v>420000000</v>
      </c>
      <c r="AH89" s="1432" t="s">
        <v>79</v>
      </c>
      <c r="AI89" s="374">
        <f>+G89*0.2</f>
        <v>280000000</v>
      </c>
      <c r="AJ89" s="1452">
        <f>K89+AC89+AE89+AG89+AI89</f>
        <v>1400000000</v>
      </c>
      <c r="AK89" s="1442">
        <v>0</v>
      </c>
      <c r="AL89" s="72"/>
      <c r="AM89" s="1541"/>
    </row>
    <row r="90" spans="2:39" ht="22.5">
      <c r="B90" s="362" t="s">
        <v>142</v>
      </c>
      <c r="C90" s="387"/>
      <c r="D90" s="344"/>
      <c r="E90" s="124"/>
      <c r="F90" s="124"/>
      <c r="G90" s="390"/>
      <c r="H90" s="193"/>
      <c r="I90" s="193"/>
      <c r="J90" s="193"/>
      <c r="K90" s="205"/>
      <c r="L90" s="205"/>
      <c r="M90" s="205"/>
      <c r="N90" s="205"/>
      <c r="O90" s="205"/>
      <c r="P90" s="1077"/>
      <c r="Q90" s="205"/>
      <c r="R90" s="346"/>
      <c r="S90" s="205"/>
      <c r="T90" s="124"/>
      <c r="U90" s="347"/>
      <c r="V90" s="1412"/>
      <c r="W90" s="348"/>
      <c r="X90" s="349"/>
      <c r="Y90" s="350"/>
      <c r="Z90" s="124"/>
      <c r="AA90" s="348"/>
      <c r="AB90" s="1412"/>
      <c r="AC90" s="350"/>
      <c r="AD90" s="1413"/>
      <c r="AE90" s="371"/>
      <c r="AF90" s="1413"/>
      <c r="AG90" s="350"/>
      <c r="AH90" s="1413"/>
      <c r="AI90" s="350"/>
      <c r="AJ90" s="24"/>
      <c r="AK90" s="1414"/>
      <c r="AL90" s="72"/>
    </row>
    <row r="91" spans="2:39" ht="67.5">
      <c r="B91" s="364"/>
      <c r="C91" s="387"/>
      <c r="D91" s="394" t="s">
        <v>740</v>
      </c>
      <c r="E91" s="124"/>
      <c r="F91" s="392" t="s">
        <v>746</v>
      </c>
      <c r="G91" s="390">
        <v>2101000000</v>
      </c>
      <c r="H91" s="193" t="s">
        <v>6</v>
      </c>
      <c r="I91" s="373" t="s">
        <v>69</v>
      </c>
      <c r="J91" s="193" t="s">
        <v>69</v>
      </c>
      <c r="K91" s="205">
        <f t="shared" ref="K91:K94" si="5">+G91*0.3</f>
        <v>630300000</v>
      </c>
      <c r="L91" s="205"/>
      <c r="M91" s="205"/>
      <c r="N91" s="205"/>
      <c r="O91" s="205"/>
      <c r="P91" s="1077"/>
      <c r="Q91" s="205"/>
      <c r="R91" s="346"/>
      <c r="S91" s="205"/>
      <c r="T91" s="193"/>
      <c r="U91" s="347"/>
      <c r="V91" s="1432"/>
      <c r="W91" s="374"/>
      <c r="X91" s="375"/>
      <c r="Y91" s="371"/>
      <c r="Z91" s="193"/>
      <c r="AA91" s="374"/>
      <c r="AB91" s="1432" t="s">
        <v>91</v>
      </c>
      <c r="AC91" s="347">
        <f>+G91*0.2</f>
        <v>420200000</v>
      </c>
      <c r="AD91" s="1429" t="s">
        <v>70</v>
      </c>
      <c r="AE91" s="374">
        <f>+G91*0.3</f>
        <v>630300000</v>
      </c>
      <c r="AF91" s="1453" t="s">
        <v>90</v>
      </c>
      <c r="AG91" s="374">
        <f>+G91*0.15</f>
        <v>315150000</v>
      </c>
      <c r="AH91" s="1432" t="s">
        <v>79</v>
      </c>
      <c r="AI91" s="371">
        <f>+G91*0.05</f>
        <v>105050000</v>
      </c>
      <c r="AJ91" s="1452">
        <f t="shared" ref="AJ91:AJ118" si="6">K91+AC91+AE91+AG91+AI91</f>
        <v>2101000000</v>
      </c>
      <c r="AK91" s="1442">
        <v>0</v>
      </c>
      <c r="AL91" s="72"/>
      <c r="AM91" s="1541">
        <v>0.03</v>
      </c>
    </row>
    <row r="92" spans="2:39" ht="56.25">
      <c r="B92" s="364"/>
      <c r="C92" s="387"/>
      <c r="D92" s="395" t="s">
        <v>496</v>
      </c>
      <c r="E92" s="124"/>
      <c r="F92" s="392" t="s">
        <v>747</v>
      </c>
      <c r="G92" s="390">
        <v>2200000000</v>
      </c>
      <c r="H92" s="193" t="s">
        <v>6</v>
      </c>
      <c r="I92" s="373" t="s">
        <v>69</v>
      </c>
      <c r="J92" s="193" t="s">
        <v>69</v>
      </c>
      <c r="K92" s="205">
        <f t="shared" si="5"/>
        <v>660000000</v>
      </c>
      <c r="L92" s="205"/>
      <c r="M92" s="205"/>
      <c r="N92" s="205"/>
      <c r="O92" s="205"/>
      <c r="P92" s="1077"/>
      <c r="Q92" s="205"/>
      <c r="R92" s="346"/>
      <c r="S92" s="205"/>
      <c r="T92" s="193"/>
      <c r="U92" s="347"/>
      <c r="V92" s="1432"/>
      <c r="W92" s="374"/>
      <c r="X92" s="375"/>
      <c r="Y92" s="371"/>
      <c r="Z92" s="193"/>
      <c r="AA92" s="374"/>
      <c r="AB92" s="1432" t="s">
        <v>91</v>
      </c>
      <c r="AC92" s="347">
        <f>+G92*0.2</f>
        <v>440000000</v>
      </c>
      <c r="AD92" s="1429" t="s">
        <v>70</v>
      </c>
      <c r="AE92" s="374">
        <f>+G92*0.3</f>
        <v>660000000</v>
      </c>
      <c r="AF92" s="1453" t="s">
        <v>90</v>
      </c>
      <c r="AG92" s="374">
        <f>+G92*0.15</f>
        <v>330000000</v>
      </c>
      <c r="AH92" s="1432" t="s">
        <v>79</v>
      </c>
      <c r="AI92" s="371">
        <f>+G92*0.05</f>
        <v>110000000</v>
      </c>
      <c r="AJ92" s="1452">
        <f t="shared" si="6"/>
        <v>2200000000</v>
      </c>
      <c r="AK92" s="1442">
        <v>0</v>
      </c>
      <c r="AL92" s="72"/>
      <c r="AM92" s="1541"/>
    </row>
    <row r="93" spans="2:39" ht="56.25">
      <c r="B93" s="364"/>
      <c r="C93" s="387"/>
      <c r="D93" s="396" t="s">
        <v>714</v>
      </c>
      <c r="E93" s="124"/>
      <c r="F93" s="392" t="s">
        <v>748</v>
      </c>
      <c r="G93" s="390">
        <v>2000000000</v>
      </c>
      <c r="H93" s="193" t="s">
        <v>6</v>
      </c>
      <c r="I93" s="373" t="s">
        <v>69</v>
      </c>
      <c r="J93" s="193" t="s">
        <v>69</v>
      </c>
      <c r="K93" s="205">
        <f>+G93*0.3</f>
        <v>600000000</v>
      </c>
      <c r="L93" s="205"/>
      <c r="M93" s="205"/>
      <c r="N93" s="205"/>
      <c r="O93" s="205"/>
      <c r="P93" s="1077"/>
      <c r="Q93" s="205"/>
      <c r="R93" s="346"/>
      <c r="S93" s="205"/>
      <c r="T93" s="193"/>
      <c r="U93" s="347"/>
      <c r="V93" s="1432"/>
      <c r="W93" s="374"/>
      <c r="X93" s="375"/>
      <c r="Y93" s="371"/>
      <c r="Z93" s="193"/>
      <c r="AA93" s="374"/>
      <c r="AB93" s="1432" t="s">
        <v>91</v>
      </c>
      <c r="AC93" s="347">
        <f>+G93*0.2</f>
        <v>400000000</v>
      </c>
      <c r="AD93" s="1432" t="s">
        <v>70</v>
      </c>
      <c r="AE93" s="374">
        <f>+G93*0.3</f>
        <v>600000000</v>
      </c>
      <c r="AF93" s="1432" t="s">
        <v>90</v>
      </c>
      <c r="AG93" s="374">
        <f>+G93*0.15</f>
        <v>300000000</v>
      </c>
      <c r="AH93" s="1432" t="s">
        <v>79</v>
      </c>
      <c r="AI93" s="371">
        <f>+G93*0.05</f>
        <v>100000000</v>
      </c>
      <c r="AJ93" s="1452">
        <f t="shared" si="6"/>
        <v>2000000000</v>
      </c>
      <c r="AK93" s="1442">
        <v>0</v>
      </c>
      <c r="AL93" s="72"/>
      <c r="AM93" s="1541"/>
    </row>
    <row r="94" spans="2:39" ht="56.25">
      <c r="B94" s="364"/>
      <c r="C94" s="387"/>
      <c r="D94" s="394" t="s">
        <v>424</v>
      </c>
      <c r="E94" s="124"/>
      <c r="F94" s="392" t="s">
        <v>749</v>
      </c>
      <c r="G94" s="390">
        <v>2100000000</v>
      </c>
      <c r="H94" s="193" t="s">
        <v>6</v>
      </c>
      <c r="I94" s="373" t="s">
        <v>69</v>
      </c>
      <c r="J94" s="193" t="s">
        <v>69</v>
      </c>
      <c r="K94" s="205">
        <f t="shared" si="5"/>
        <v>630000000</v>
      </c>
      <c r="L94" s="205"/>
      <c r="M94" s="205"/>
      <c r="N94" s="205"/>
      <c r="O94" s="205"/>
      <c r="P94" s="1077"/>
      <c r="Q94" s="205"/>
      <c r="R94" s="346"/>
      <c r="S94" s="205"/>
      <c r="T94" s="193"/>
      <c r="U94" s="347"/>
      <c r="V94" s="1432"/>
      <c r="W94" s="374"/>
      <c r="X94" s="375"/>
      <c r="Y94" s="371"/>
      <c r="Z94" s="193"/>
      <c r="AA94" s="374"/>
      <c r="AB94" s="1432" t="s">
        <v>91</v>
      </c>
      <c r="AC94" s="347">
        <f>+G94*0.2</f>
        <v>420000000</v>
      </c>
      <c r="AD94" s="1432" t="s">
        <v>70</v>
      </c>
      <c r="AE94" s="374">
        <f>+G94*0.3</f>
        <v>630000000</v>
      </c>
      <c r="AF94" s="1432" t="s">
        <v>90</v>
      </c>
      <c r="AG94" s="374">
        <f>+G94*0.15</f>
        <v>315000000</v>
      </c>
      <c r="AH94" s="1432" t="s">
        <v>79</v>
      </c>
      <c r="AI94" s="371">
        <f>+G94*0.05</f>
        <v>105000000</v>
      </c>
      <c r="AJ94" s="1452">
        <f t="shared" si="6"/>
        <v>2100000000</v>
      </c>
      <c r="AK94" s="1442">
        <v>0.2</v>
      </c>
      <c r="AL94" s="1454"/>
      <c r="AM94" s="1541"/>
    </row>
    <row r="95" spans="2:39" ht="56.25">
      <c r="B95" s="364"/>
      <c r="C95" s="387"/>
      <c r="D95" s="379" t="s">
        <v>750</v>
      </c>
      <c r="E95" s="124"/>
      <c r="F95" s="392" t="s">
        <v>751</v>
      </c>
      <c r="G95" s="397">
        <v>2000000000</v>
      </c>
      <c r="H95" s="193" t="s">
        <v>6</v>
      </c>
      <c r="I95" s="373" t="s">
        <v>69</v>
      </c>
      <c r="J95" s="193" t="s">
        <v>69</v>
      </c>
      <c r="K95" s="205">
        <f>+G95*0.3</f>
        <v>600000000</v>
      </c>
      <c r="L95" s="205"/>
      <c r="M95" s="205"/>
      <c r="N95" s="205"/>
      <c r="O95" s="205"/>
      <c r="P95" s="1077"/>
      <c r="Q95" s="205"/>
      <c r="R95" s="346"/>
      <c r="S95" s="205"/>
      <c r="T95" s="193"/>
      <c r="U95" s="347"/>
      <c r="V95" s="1432"/>
      <c r="W95" s="374"/>
      <c r="X95" s="375"/>
      <c r="Y95" s="371"/>
      <c r="Z95" s="193"/>
      <c r="AA95" s="374"/>
      <c r="AB95" s="1432" t="s">
        <v>91</v>
      </c>
      <c r="AC95" s="347">
        <f>+G95*0.2</f>
        <v>400000000</v>
      </c>
      <c r="AD95" s="1432" t="s">
        <v>70</v>
      </c>
      <c r="AE95" s="374">
        <f>+G95*0.3</f>
        <v>600000000</v>
      </c>
      <c r="AF95" s="1432" t="s">
        <v>90</v>
      </c>
      <c r="AG95" s="374">
        <f>+G95*0.15</f>
        <v>300000000</v>
      </c>
      <c r="AH95" s="1432" t="s">
        <v>79</v>
      </c>
      <c r="AI95" s="371">
        <f>+G95*0.05</f>
        <v>100000000</v>
      </c>
      <c r="AJ95" s="1452">
        <f t="shared" si="6"/>
        <v>2000000000</v>
      </c>
      <c r="AK95" s="1442">
        <v>0</v>
      </c>
      <c r="AL95" s="1439" t="s">
        <v>3158</v>
      </c>
      <c r="AM95" s="1541"/>
    </row>
    <row r="96" spans="2:39" ht="56.25">
      <c r="B96" s="364"/>
      <c r="C96" s="387"/>
      <c r="D96" s="379" t="s">
        <v>705</v>
      </c>
      <c r="E96" s="124"/>
      <c r="F96" s="392" t="s">
        <v>752</v>
      </c>
      <c r="G96" s="390">
        <v>2200000000</v>
      </c>
      <c r="H96" s="193" t="s">
        <v>13</v>
      </c>
      <c r="I96" s="373" t="s">
        <v>89</v>
      </c>
      <c r="J96" s="193" t="s">
        <v>89</v>
      </c>
      <c r="K96" s="205">
        <f t="shared" ref="K96" si="7">+G96*0.3</f>
        <v>660000000</v>
      </c>
      <c r="L96" s="205"/>
      <c r="M96" s="205"/>
      <c r="N96" s="205"/>
      <c r="O96" s="205"/>
      <c r="P96" s="1077"/>
      <c r="Q96" s="205"/>
      <c r="R96" s="346"/>
      <c r="S96" s="205"/>
      <c r="T96" s="193"/>
      <c r="U96" s="347"/>
      <c r="V96" s="1432"/>
      <c r="W96" s="374"/>
      <c r="X96" s="375"/>
      <c r="Y96" s="371"/>
      <c r="Z96" s="193"/>
      <c r="AA96" s="374"/>
      <c r="AB96" s="1432"/>
      <c r="AC96" s="347"/>
      <c r="AD96" s="1432" t="s">
        <v>70</v>
      </c>
      <c r="AE96" s="1440">
        <f>+G96*0.2</f>
        <v>440000000</v>
      </c>
      <c r="AF96" s="1432" t="s">
        <v>90</v>
      </c>
      <c r="AG96" s="374">
        <f>+G96*0.3</f>
        <v>660000000</v>
      </c>
      <c r="AH96" s="1432" t="s">
        <v>79</v>
      </c>
      <c r="AI96" s="374">
        <f>+G96*0.2</f>
        <v>440000000</v>
      </c>
      <c r="AJ96" s="1452">
        <f t="shared" si="6"/>
        <v>2200000000</v>
      </c>
      <c r="AK96" s="1442">
        <v>0</v>
      </c>
      <c r="AL96" s="72"/>
      <c r="AM96" s="1541"/>
    </row>
    <row r="97" spans="2:39" ht="56.25">
      <c r="B97" s="364"/>
      <c r="C97" s="387"/>
      <c r="D97" s="379" t="s">
        <v>753</v>
      </c>
      <c r="E97" s="124"/>
      <c r="F97" s="392" t="s">
        <v>754</v>
      </c>
      <c r="G97" s="390">
        <v>1800000000</v>
      </c>
      <c r="H97" s="193" t="s">
        <v>6</v>
      </c>
      <c r="I97" s="373" t="s">
        <v>69</v>
      </c>
      <c r="J97" s="193" t="s">
        <v>69</v>
      </c>
      <c r="K97" s="205">
        <f>+G97*0.3</f>
        <v>540000000</v>
      </c>
      <c r="L97" s="205"/>
      <c r="M97" s="205"/>
      <c r="N97" s="205"/>
      <c r="O97" s="205"/>
      <c r="P97" s="1077"/>
      <c r="Q97" s="205"/>
      <c r="R97" s="346"/>
      <c r="S97" s="205"/>
      <c r="T97" s="193"/>
      <c r="U97" s="347"/>
      <c r="V97" s="1432"/>
      <c r="W97" s="374"/>
      <c r="X97" s="375"/>
      <c r="Y97" s="371"/>
      <c r="Z97" s="193"/>
      <c r="AA97" s="374"/>
      <c r="AB97" s="1432" t="s">
        <v>91</v>
      </c>
      <c r="AC97" s="347">
        <f>+G97*0.2</f>
        <v>360000000</v>
      </c>
      <c r="AD97" s="1432" t="s">
        <v>70</v>
      </c>
      <c r="AE97" s="374">
        <f>+G97*0.3</f>
        <v>540000000</v>
      </c>
      <c r="AF97" s="1432" t="s">
        <v>90</v>
      </c>
      <c r="AG97" s="374">
        <f>+G97*0.15</f>
        <v>270000000</v>
      </c>
      <c r="AH97" s="1432" t="s">
        <v>79</v>
      </c>
      <c r="AI97" s="371">
        <f>+G97*0.05</f>
        <v>90000000</v>
      </c>
      <c r="AJ97" s="1452">
        <f t="shared" si="6"/>
        <v>1800000000</v>
      </c>
      <c r="AK97" s="1442">
        <v>0</v>
      </c>
      <c r="AL97" s="1439" t="s">
        <v>3158</v>
      </c>
      <c r="AM97" s="1541"/>
    </row>
    <row r="98" spans="2:39" ht="56.25">
      <c r="B98" s="364"/>
      <c r="C98" s="387"/>
      <c r="D98" s="344" t="s">
        <v>169</v>
      </c>
      <c r="E98" s="124"/>
      <c r="F98" s="392" t="s">
        <v>755</v>
      </c>
      <c r="G98" s="388">
        <v>22814000000</v>
      </c>
      <c r="H98" s="193" t="s">
        <v>6</v>
      </c>
      <c r="I98" s="373" t="s">
        <v>69</v>
      </c>
      <c r="J98" s="193" t="s">
        <v>69</v>
      </c>
      <c r="K98" s="205">
        <f>+G98*0.3</f>
        <v>6844200000</v>
      </c>
      <c r="L98" s="205"/>
      <c r="M98" s="205"/>
      <c r="N98" s="205"/>
      <c r="O98" s="205"/>
      <c r="P98" s="1077"/>
      <c r="Q98" s="205"/>
      <c r="R98" s="346"/>
      <c r="S98" s="205"/>
      <c r="T98" s="193"/>
      <c r="U98" s="347"/>
      <c r="V98" s="1432"/>
      <c r="W98" s="374"/>
      <c r="X98" s="375"/>
      <c r="Y98" s="371"/>
      <c r="Z98" s="193"/>
      <c r="AA98" s="374"/>
      <c r="AB98" s="1432" t="s">
        <v>91</v>
      </c>
      <c r="AC98" s="347">
        <f>+G98*0.2</f>
        <v>4562800000</v>
      </c>
      <c r="AD98" s="1432" t="s">
        <v>70</v>
      </c>
      <c r="AE98" s="374">
        <f>+G98*0.3</f>
        <v>6844200000</v>
      </c>
      <c r="AF98" s="1432" t="s">
        <v>90</v>
      </c>
      <c r="AG98" s="374">
        <f>G98*0.15</f>
        <v>3422100000</v>
      </c>
      <c r="AH98" s="1432" t="s">
        <v>79</v>
      </c>
      <c r="AI98" s="371">
        <f>+G98*0.05</f>
        <v>1140700000</v>
      </c>
      <c r="AJ98" s="1452">
        <f t="shared" si="6"/>
        <v>22814000000</v>
      </c>
      <c r="AK98" s="1442">
        <v>0</v>
      </c>
      <c r="AL98" s="72" t="s">
        <v>3159</v>
      </c>
      <c r="AM98" s="1541"/>
    </row>
    <row r="99" spans="2:39" ht="56.25">
      <c r="B99" s="364"/>
      <c r="C99" s="387"/>
      <c r="D99" s="379" t="s">
        <v>582</v>
      </c>
      <c r="E99" s="124"/>
      <c r="F99" s="392" t="s">
        <v>756</v>
      </c>
      <c r="G99" s="390">
        <v>2000000000</v>
      </c>
      <c r="H99" s="193" t="s">
        <v>13</v>
      </c>
      <c r="I99" s="373" t="s">
        <v>89</v>
      </c>
      <c r="J99" s="193" t="s">
        <v>89</v>
      </c>
      <c r="K99" s="205">
        <f t="shared" ref="K99:K109" si="8">+G99*0.3</f>
        <v>600000000</v>
      </c>
      <c r="L99" s="205"/>
      <c r="M99" s="205"/>
      <c r="N99" s="205"/>
      <c r="O99" s="205"/>
      <c r="P99" s="1077"/>
      <c r="Q99" s="205"/>
      <c r="R99" s="346"/>
      <c r="S99" s="205"/>
      <c r="T99" s="193"/>
      <c r="U99" s="347"/>
      <c r="V99" s="1432"/>
      <c r="W99" s="374"/>
      <c r="X99" s="375"/>
      <c r="Y99" s="371"/>
      <c r="Z99" s="193"/>
      <c r="AA99" s="374"/>
      <c r="AB99" s="1432"/>
      <c r="AC99" s="371"/>
      <c r="AD99" s="1432" t="s">
        <v>70</v>
      </c>
      <c r="AE99" s="1440">
        <f>+G99*0.2</f>
        <v>400000000</v>
      </c>
      <c r="AF99" s="1432" t="s">
        <v>90</v>
      </c>
      <c r="AG99" s="374">
        <f>+G99*0.3</f>
        <v>600000000</v>
      </c>
      <c r="AH99" s="1432" t="s">
        <v>79</v>
      </c>
      <c r="AI99" s="374">
        <f>+G99*0.2</f>
        <v>400000000</v>
      </c>
      <c r="AJ99" s="1452">
        <f t="shared" si="6"/>
        <v>2000000000</v>
      </c>
      <c r="AK99" s="1442">
        <v>0</v>
      </c>
      <c r="AL99" s="674" t="s">
        <v>3160</v>
      </c>
      <c r="AM99" s="1541"/>
    </row>
    <row r="100" spans="2:39" ht="56.25">
      <c r="B100" s="364"/>
      <c r="C100" s="387"/>
      <c r="D100" s="379" t="s">
        <v>583</v>
      </c>
      <c r="E100" s="124"/>
      <c r="F100" s="392" t="s">
        <v>757</v>
      </c>
      <c r="G100" s="390">
        <v>2500000000</v>
      </c>
      <c r="H100" s="193" t="s">
        <v>13</v>
      </c>
      <c r="I100" s="373" t="s">
        <v>89</v>
      </c>
      <c r="J100" s="193" t="s">
        <v>89</v>
      </c>
      <c r="K100" s="205">
        <f t="shared" si="8"/>
        <v>750000000</v>
      </c>
      <c r="L100" s="205"/>
      <c r="M100" s="205"/>
      <c r="N100" s="205"/>
      <c r="O100" s="205"/>
      <c r="P100" s="1077"/>
      <c r="Q100" s="205"/>
      <c r="R100" s="346"/>
      <c r="S100" s="205"/>
      <c r="T100" s="193"/>
      <c r="U100" s="347"/>
      <c r="V100" s="1432"/>
      <c r="W100" s="374"/>
      <c r="X100" s="375"/>
      <c r="Y100" s="371"/>
      <c r="Z100" s="193"/>
      <c r="AA100" s="374"/>
      <c r="AB100" s="1432"/>
      <c r="AC100" s="371"/>
      <c r="AD100" s="1432" t="s">
        <v>70</v>
      </c>
      <c r="AE100" s="1440">
        <f>+G100*0.2</f>
        <v>500000000</v>
      </c>
      <c r="AF100" s="1432" t="s">
        <v>90</v>
      </c>
      <c r="AG100" s="374">
        <f>+G100*0.3</f>
        <v>750000000</v>
      </c>
      <c r="AH100" s="1432" t="s">
        <v>79</v>
      </c>
      <c r="AI100" s="374">
        <f>+G100*0.2</f>
        <v>500000000</v>
      </c>
      <c r="AJ100" s="1452">
        <f t="shared" si="6"/>
        <v>2500000000</v>
      </c>
      <c r="AK100" s="1442">
        <v>0</v>
      </c>
      <c r="AL100" s="1439" t="s">
        <v>3158</v>
      </c>
      <c r="AM100" s="1541"/>
    </row>
    <row r="101" spans="2:39" ht="56.25">
      <c r="B101" s="364"/>
      <c r="C101" s="387"/>
      <c r="D101" s="379" t="s">
        <v>108</v>
      </c>
      <c r="E101" s="124"/>
      <c r="F101" s="392" t="s">
        <v>758</v>
      </c>
      <c r="G101" s="390">
        <v>1000000000</v>
      </c>
      <c r="H101" s="193" t="s">
        <v>6</v>
      </c>
      <c r="I101" s="373" t="s">
        <v>69</v>
      </c>
      <c r="J101" s="193" t="s">
        <v>69</v>
      </c>
      <c r="K101" s="205">
        <f t="shared" si="8"/>
        <v>300000000</v>
      </c>
      <c r="L101" s="205"/>
      <c r="M101" s="205"/>
      <c r="N101" s="205"/>
      <c r="O101" s="205"/>
      <c r="P101" s="1077"/>
      <c r="Q101" s="205"/>
      <c r="R101" s="346"/>
      <c r="S101" s="205"/>
      <c r="T101" s="193"/>
      <c r="U101" s="347"/>
      <c r="V101" s="1432"/>
      <c r="W101" s="374"/>
      <c r="X101" s="375"/>
      <c r="Y101" s="371"/>
      <c r="Z101" s="193"/>
      <c r="AA101" s="374"/>
      <c r="AB101" s="1432" t="s">
        <v>91</v>
      </c>
      <c r="AC101" s="347">
        <f>+G101*0.2</f>
        <v>200000000</v>
      </c>
      <c r="AD101" s="1432" t="s">
        <v>70</v>
      </c>
      <c r="AE101" s="374">
        <f>+G101*0.3</f>
        <v>300000000</v>
      </c>
      <c r="AF101" s="1432" t="s">
        <v>90</v>
      </c>
      <c r="AG101" s="374">
        <f>+G101*0.15</f>
        <v>150000000</v>
      </c>
      <c r="AH101" s="1432" t="s">
        <v>79</v>
      </c>
      <c r="AI101" s="371">
        <f>+G101*0.05</f>
        <v>50000000</v>
      </c>
      <c r="AJ101" s="1452">
        <f t="shared" si="6"/>
        <v>1000000000</v>
      </c>
      <c r="AK101" s="1442">
        <v>0</v>
      </c>
      <c r="AL101" s="1439" t="s">
        <v>3158</v>
      </c>
      <c r="AM101" s="1541"/>
    </row>
    <row r="102" spans="2:39" ht="56.25">
      <c r="B102" s="364"/>
      <c r="C102" s="387"/>
      <c r="D102" s="394" t="s">
        <v>114</v>
      </c>
      <c r="E102" s="124"/>
      <c r="F102" s="392" t="s">
        <v>759</v>
      </c>
      <c r="G102" s="390">
        <v>1400000000</v>
      </c>
      <c r="H102" s="193" t="s">
        <v>13</v>
      </c>
      <c r="I102" s="373" t="s">
        <v>89</v>
      </c>
      <c r="J102" s="193" t="s">
        <v>89</v>
      </c>
      <c r="K102" s="205">
        <f t="shared" si="8"/>
        <v>420000000</v>
      </c>
      <c r="L102" s="205"/>
      <c r="M102" s="205"/>
      <c r="N102" s="205"/>
      <c r="O102" s="205"/>
      <c r="P102" s="1077"/>
      <c r="Q102" s="205"/>
      <c r="R102" s="346"/>
      <c r="S102" s="205"/>
      <c r="T102" s="193"/>
      <c r="U102" s="347"/>
      <c r="V102" s="1432"/>
      <c r="W102" s="374"/>
      <c r="X102" s="375"/>
      <c r="Y102" s="371"/>
      <c r="Z102" s="193"/>
      <c r="AA102" s="374"/>
      <c r="AB102" s="1432"/>
      <c r="AC102" s="371"/>
      <c r="AD102" s="1432" t="s">
        <v>70</v>
      </c>
      <c r="AE102" s="1440">
        <f>+G102*0.2</f>
        <v>280000000</v>
      </c>
      <c r="AF102" s="1432" t="s">
        <v>90</v>
      </c>
      <c r="AG102" s="374">
        <f>+G102*0.3</f>
        <v>420000000</v>
      </c>
      <c r="AH102" s="1432" t="s">
        <v>79</v>
      </c>
      <c r="AI102" s="374">
        <f>+G102*0.2</f>
        <v>280000000</v>
      </c>
      <c r="AJ102" s="1452">
        <f t="shared" si="6"/>
        <v>1400000000</v>
      </c>
      <c r="AK102" s="1442">
        <v>0</v>
      </c>
      <c r="AL102" s="1439" t="s">
        <v>3158</v>
      </c>
      <c r="AM102" s="1541"/>
    </row>
    <row r="103" spans="2:39" ht="56.25">
      <c r="B103" s="364"/>
      <c r="C103" s="387"/>
      <c r="D103" s="379" t="s">
        <v>80</v>
      </c>
      <c r="E103" s="124"/>
      <c r="F103" s="392" t="s">
        <v>760</v>
      </c>
      <c r="G103" s="390">
        <f>4800000000-(177636600+27000)</f>
        <v>4622336400</v>
      </c>
      <c r="H103" s="193" t="s">
        <v>6</v>
      </c>
      <c r="I103" s="373" t="s">
        <v>69</v>
      </c>
      <c r="J103" s="193" t="s">
        <v>69</v>
      </c>
      <c r="K103" s="205">
        <f t="shared" si="8"/>
        <v>1386700920</v>
      </c>
      <c r="L103" s="205"/>
      <c r="M103" s="205"/>
      <c r="N103" s="205"/>
      <c r="O103" s="205"/>
      <c r="P103" s="1077"/>
      <c r="Q103" s="205"/>
      <c r="R103" s="346"/>
      <c r="S103" s="205"/>
      <c r="T103" s="193"/>
      <c r="U103" s="347"/>
      <c r="V103" s="1432"/>
      <c r="W103" s="374"/>
      <c r="X103" s="375"/>
      <c r="Y103" s="371"/>
      <c r="Z103" s="193"/>
      <c r="AA103" s="374"/>
      <c r="AB103" s="1432" t="s">
        <v>91</v>
      </c>
      <c r="AC103" s="347">
        <f>+G103*0.2</f>
        <v>924467280</v>
      </c>
      <c r="AD103" s="1432" t="s">
        <v>70</v>
      </c>
      <c r="AE103" s="374">
        <f>+G103*0.3</f>
        <v>1386700920</v>
      </c>
      <c r="AF103" s="1432" t="s">
        <v>90</v>
      </c>
      <c r="AG103" s="374">
        <f>+G103*0.15</f>
        <v>693350460</v>
      </c>
      <c r="AH103" s="1432" t="s">
        <v>79</v>
      </c>
      <c r="AI103" s="371">
        <f>+G103*0.05</f>
        <v>231116820</v>
      </c>
      <c r="AJ103" s="1452">
        <f t="shared" si="6"/>
        <v>4622336400</v>
      </c>
      <c r="AK103" s="1442">
        <v>0</v>
      </c>
      <c r="AL103" s="1439"/>
      <c r="AM103" s="1541"/>
    </row>
    <row r="104" spans="2:39" ht="56.25">
      <c r="B104" s="364"/>
      <c r="C104" s="387"/>
      <c r="D104" s="379" t="s">
        <v>761</v>
      </c>
      <c r="E104" s="124"/>
      <c r="F104" s="392" t="s">
        <v>762</v>
      </c>
      <c r="G104" s="390">
        <v>7000000000</v>
      </c>
      <c r="H104" s="193" t="s">
        <v>6</v>
      </c>
      <c r="I104" s="373" t="s">
        <v>69</v>
      </c>
      <c r="J104" s="193" t="s">
        <v>69</v>
      </c>
      <c r="K104" s="205">
        <f t="shared" si="8"/>
        <v>2100000000</v>
      </c>
      <c r="L104" s="205"/>
      <c r="M104" s="205"/>
      <c r="N104" s="205"/>
      <c r="O104" s="205"/>
      <c r="P104" s="1077"/>
      <c r="Q104" s="205"/>
      <c r="R104" s="346"/>
      <c r="S104" s="205"/>
      <c r="T104" s="193"/>
      <c r="U104" s="347"/>
      <c r="V104" s="1432"/>
      <c r="W104" s="374"/>
      <c r="X104" s="375"/>
      <c r="Y104" s="371"/>
      <c r="Z104" s="193"/>
      <c r="AA104" s="374"/>
      <c r="AB104" s="1432" t="s">
        <v>91</v>
      </c>
      <c r="AC104" s="347">
        <f>+G104*0.2</f>
        <v>1400000000</v>
      </c>
      <c r="AD104" s="1432" t="s">
        <v>70</v>
      </c>
      <c r="AE104" s="374">
        <f>+G104*0.3</f>
        <v>2100000000</v>
      </c>
      <c r="AF104" s="1432" t="s">
        <v>90</v>
      </c>
      <c r="AG104" s="374">
        <f>+G104*0.15</f>
        <v>1050000000</v>
      </c>
      <c r="AH104" s="1432" t="s">
        <v>79</v>
      </c>
      <c r="AI104" s="371">
        <f>+G104*0.05</f>
        <v>350000000</v>
      </c>
      <c r="AJ104" s="1452">
        <f t="shared" si="6"/>
        <v>7000000000</v>
      </c>
      <c r="AK104" s="1442">
        <f>1865876775/AJ104</f>
        <v>0.26655382500000002</v>
      </c>
      <c r="AL104" s="72"/>
      <c r="AM104" s="1541"/>
    </row>
    <row r="105" spans="2:39" ht="67.5">
      <c r="B105" s="364"/>
      <c r="C105" s="387"/>
      <c r="D105" s="379" t="s">
        <v>763</v>
      </c>
      <c r="E105" s="124"/>
      <c r="F105" s="392" t="s">
        <v>764</v>
      </c>
      <c r="G105" s="390">
        <v>2200000000</v>
      </c>
      <c r="H105" s="193" t="s">
        <v>13</v>
      </c>
      <c r="I105" s="373" t="s">
        <v>89</v>
      </c>
      <c r="J105" s="193" t="s">
        <v>89</v>
      </c>
      <c r="K105" s="205">
        <f t="shared" si="8"/>
        <v>660000000</v>
      </c>
      <c r="L105" s="205"/>
      <c r="M105" s="205"/>
      <c r="N105" s="205"/>
      <c r="O105" s="205"/>
      <c r="P105" s="1077"/>
      <c r="Q105" s="205"/>
      <c r="R105" s="346"/>
      <c r="S105" s="205"/>
      <c r="T105" s="193"/>
      <c r="U105" s="347"/>
      <c r="V105" s="1432"/>
      <c r="W105" s="374"/>
      <c r="X105" s="375"/>
      <c r="Y105" s="371"/>
      <c r="Z105" s="193"/>
      <c r="AA105" s="374"/>
      <c r="AB105" s="1432"/>
      <c r="AC105" s="371"/>
      <c r="AD105" s="1432" t="s">
        <v>70</v>
      </c>
      <c r="AE105" s="1440">
        <f>+G105*0.2</f>
        <v>440000000</v>
      </c>
      <c r="AF105" s="1432" t="s">
        <v>90</v>
      </c>
      <c r="AG105" s="374">
        <f>+G105*0.3</f>
        <v>660000000</v>
      </c>
      <c r="AH105" s="1432" t="s">
        <v>79</v>
      </c>
      <c r="AI105" s="374">
        <f>+G105*0.2</f>
        <v>440000000</v>
      </c>
      <c r="AJ105" s="1452">
        <f t="shared" si="6"/>
        <v>2200000000</v>
      </c>
      <c r="AK105" s="1442">
        <v>0</v>
      </c>
      <c r="AL105" s="1439"/>
      <c r="AM105" s="1541"/>
    </row>
    <row r="106" spans="2:39" ht="67.5">
      <c r="B106" s="364"/>
      <c r="C106" s="387"/>
      <c r="D106" s="379" t="s">
        <v>491</v>
      </c>
      <c r="E106" s="124"/>
      <c r="F106" s="392" t="s">
        <v>765</v>
      </c>
      <c r="G106" s="390">
        <v>2800000000</v>
      </c>
      <c r="H106" s="193" t="s">
        <v>13</v>
      </c>
      <c r="I106" s="373" t="s">
        <v>89</v>
      </c>
      <c r="J106" s="193" t="s">
        <v>89</v>
      </c>
      <c r="K106" s="205">
        <f>+G106*0.3</f>
        <v>840000000</v>
      </c>
      <c r="L106" s="205"/>
      <c r="M106" s="205"/>
      <c r="N106" s="205"/>
      <c r="O106" s="205"/>
      <c r="P106" s="1077"/>
      <c r="Q106" s="205"/>
      <c r="R106" s="346"/>
      <c r="S106" s="205"/>
      <c r="T106" s="193"/>
      <c r="U106" s="347"/>
      <c r="V106" s="1432"/>
      <c r="W106" s="374"/>
      <c r="X106" s="375"/>
      <c r="Y106" s="371"/>
      <c r="Z106" s="193"/>
      <c r="AA106" s="374"/>
      <c r="AB106" s="1432"/>
      <c r="AC106" s="371"/>
      <c r="AD106" s="1432" t="s">
        <v>70</v>
      </c>
      <c r="AE106" s="1440">
        <f>+G106*0.2</f>
        <v>560000000</v>
      </c>
      <c r="AF106" s="1432" t="s">
        <v>90</v>
      </c>
      <c r="AG106" s="374">
        <f>+G106*0.3</f>
        <v>840000000</v>
      </c>
      <c r="AH106" s="1432" t="s">
        <v>79</v>
      </c>
      <c r="AI106" s="374">
        <f>+G106*0.2</f>
        <v>560000000</v>
      </c>
      <c r="AJ106" s="1452">
        <f t="shared" si="6"/>
        <v>2800000000</v>
      </c>
      <c r="AK106" s="1414"/>
      <c r="AL106" s="72"/>
      <c r="AM106" s="1541"/>
    </row>
    <row r="107" spans="2:39" ht="56.25">
      <c r="B107" s="364"/>
      <c r="C107" s="387"/>
      <c r="D107" s="379" t="s">
        <v>766</v>
      </c>
      <c r="E107" s="124"/>
      <c r="F107" s="392" t="s">
        <v>767</v>
      </c>
      <c r="G107" s="390">
        <v>2200000000</v>
      </c>
      <c r="H107" s="193" t="s">
        <v>13</v>
      </c>
      <c r="I107" s="373" t="s">
        <v>89</v>
      </c>
      <c r="J107" s="193" t="s">
        <v>89</v>
      </c>
      <c r="K107" s="205">
        <f t="shared" si="8"/>
        <v>660000000</v>
      </c>
      <c r="L107" s="205"/>
      <c r="M107" s="205"/>
      <c r="N107" s="205"/>
      <c r="O107" s="205"/>
      <c r="P107" s="1077"/>
      <c r="Q107" s="205"/>
      <c r="R107" s="346"/>
      <c r="S107" s="205"/>
      <c r="T107" s="193"/>
      <c r="U107" s="347"/>
      <c r="V107" s="1432"/>
      <c r="W107" s="374"/>
      <c r="X107" s="375"/>
      <c r="Y107" s="371"/>
      <c r="Z107" s="193"/>
      <c r="AA107" s="374"/>
      <c r="AB107" s="1432"/>
      <c r="AC107" s="371"/>
      <c r="AD107" s="1432" t="s">
        <v>70</v>
      </c>
      <c r="AE107" s="1440">
        <f>+G107*0.2</f>
        <v>440000000</v>
      </c>
      <c r="AF107" s="1432" t="s">
        <v>90</v>
      </c>
      <c r="AG107" s="374">
        <f>+G107*0.3</f>
        <v>660000000</v>
      </c>
      <c r="AH107" s="1432" t="s">
        <v>79</v>
      </c>
      <c r="AI107" s="374">
        <f>+G107*0.2</f>
        <v>440000000</v>
      </c>
      <c r="AJ107" s="1452">
        <f t="shared" si="6"/>
        <v>2200000000</v>
      </c>
      <c r="AK107" s="1414"/>
      <c r="AL107" s="72"/>
      <c r="AM107" s="1541"/>
    </row>
    <row r="108" spans="2:39" ht="56.25">
      <c r="B108" s="364"/>
      <c r="C108" s="387"/>
      <c r="D108" s="379" t="s">
        <v>768</v>
      </c>
      <c r="E108" s="124"/>
      <c r="F108" s="392" t="s">
        <v>769</v>
      </c>
      <c r="G108" s="390">
        <v>2500000000</v>
      </c>
      <c r="H108" s="193" t="s">
        <v>13</v>
      </c>
      <c r="I108" s="373" t="s">
        <v>89</v>
      </c>
      <c r="J108" s="193" t="s">
        <v>89</v>
      </c>
      <c r="K108" s="205">
        <f t="shared" si="8"/>
        <v>750000000</v>
      </c>
      <c r="L108" s="205"/>
      <c r="M108" s="205"/>
      <c r="N108" s="205"/>
      <c r="O108" s="205"/>
      <c r="P108" s="1077"/>
      <c r="Q108" s="205"/>
      <c r="R108" s="346"/>
      <c r="S108" s="205"/>
      <c r="T108" s="193"/>
      <c r="U108" s="347"/>
      <c r="V108" s="1432"/>
      <c r="W108" s="374"/>
      <c r="X108" s="375"/>
      <c r="Y108" s="371"/>
      <c r="Z108" s="193"/>
      <c r="AA108" s="374"/>
      <c r="AB108" s="1432"/>
      <c r="AC108" s="371"/>
      <c r="AD108" s="1432" t="s">
        <v>70</v>
      </c>
      <c r="AE108" s="1440">
        <f>+G108*0.2</f>
        <v>500000000</v>
      </c>
      <c r="AF108" s="1432" t="s">
        <v>90</v>
      </c>
      <c r="AG108" s="374">
        <f>+G108*0.3</f>
        <v>750000000</v>
      </c>
      <c r="AH108" s="1432" t="s">
        <v>79</v>
      </c>
      <c r="AI108" s="374">
        <f>+G108*0.2</f>
        <v>500000000</v>
      </c>
      <c r="AJ108" s="1452">
        <f t="shared" si="6"/>
        <v>2500000000</v>
      </c>
      <c r="AK108" s="1414"/>
      <c r="AL108" s="72"/>
      <c r="AM108" s="1541"/>
    </row>
    <row r="109" spans="2:39" ht="56.25">
      <c r="B109" s="364"/>
      <c r="C109" s="387"/>
      <c r="D109" s="379" t="s">
        <v>770</v>
      </c>
      <c r="E109" s="124"/>
      <c r="F109" s="392" t="s">
        <v>771</v>
      </c>
      <c r="G109" s="390">
        <v>4178000000</v>
      </c>
      <c r="H109" s="193" t="s">
        <v>13</v>
      </c>
      <c r="I109" s="373" t="s">
        <v>89</v>
      </c>
      <c r="J109" s="193" t="s">
        <v>89</v>
      </c>
      <c r="K109" s="205">
        <f t="shared" si="8"/>
        <v>1253400000</v>
      </c>
      <c r="L109" s="205"/>
      <c r="M109" s="205"/>
      <c r="N109" s="205"/>
      <c r="O109" s="205"/>
      <c r="P109" s="1077"/>
      <c r="Q109" s="205"/>
      <c r="R109" s="346"/>
      <c r="S109" s="205"/>
      <c r="T109" s="193"/>
      <c r="U109" s="347"/>
      <c r="V109" s="1432"/>
      <c r="W109" s="374"/>
      <c r="X109" s="375"/>
      <c r="Y109" s="371"/>
      <c r="Z109" s="193"/>
      <c r="AA109" s="374"/>
      <c r="AB109" s="1432"/>
      <c r="AC109" s="371"/>
      <c r="AD109" s="1432" t="s">
        <v>70</v>
      </c>
      <c r="AE109" s="1440">
        <f>+G109*0.2</f>
        <v>835600000</v>
      </c>
      <c r="AF109" s="1432" t="s">
        <v>90</v>
      </c>
      <c r="AG109" s="374">
        <f>+G109*0.3</f>
        <v>1253400000</v>
      </c>
      <c r="AH109" s="1432" t="s">
        <v>79</v>
      </c>
      <c r="AI109" s="374">
        <f>+G109*0.2</f>
        <v>835600000</v>
      </c>
      <c r="AJ109" s="1452">
        <f t="shared" si="6"/>
        <v>4178000000</v>
      </c>
      <c r="AK109" s="1414"/>
      <c r="AL109" s="72"/>
      <c r="AM109" s="1541"/>
    </row>
    <row r="110" spans="2:39" ht="45">
      <c r="B110" s="362" t="s">
        <v>143</v>
      </c>
      <c r="C110" s="387"/>
      <c r="D110" s="379"/>
      <c r="E110" s="124"/>
      <c r="F110" s="124"/>
      <c r="G110" s="397"/>
      <c r="H110" s="193"/>
      <c r="I110" s="373"/>
      <c r="J110" s="193"/>
      <c r="K110" s="205"/>
      <c r="L110" s="205"/>
      <c r="M110" s="205"/>
      <c r="N110" s="205"/>
      <c r="O110" s="205"/>
      <c r="P110" s="1077"/>
      <c r="Q110" s="205"/>
      <c r="R110" s="346"/>
      <c r="S110" s="205"/>
      <c r="T110" s="124"/>
      <c r="U110" s="347"/>
      <c r="V110" s="1412"/>
      <c r="W110" s="348"/>
      <c r="X110" s="349"/>
      <c r="Y110" s="350"/>
      <c r="Z110" s="124"/>
      <c r="AA110" s="348"/>
      <c r="AB110" s="1412"/>
      <c r="AC110" s="350"/>
      <c r="AD110" s="1413"/>
      <c r="AE110" s="371"/>
      <c r="AF110" s="1413"/>
      <c r="AG110" s="350"/>
      <c r="AH110" s="1413"/>
      <c r="AI110" s="350"/>
      <c r="AJ110" s="24"/>
      <c r="AK110" s="1414"/>
      <c r="AL110" s="72"/>
    </row>
    <row r="111" spans="2:39" ht="78.75">
      <c r="B111" s="364"/>
      <c r="C111" s="387"/>
      <c r="D111" s="379" t="s">
        <v>740</v>
      </c>
      <c r="E111" s="124"/>
      <c r="F111" s="392" t="s">
        <v>772</v>
      </c>
      <c r="G111" s="397">
        <f>+G91*0.5</f>
        <v>1050500000</v>
      </c>
      <c r="H111" s="193" t="str">
        <f>+H91</f>
        <v>ABRIL</v>
      </c>
      <c r="I111" s="373" t="str">
        <f>+I91</f>
        <v>JULIO</v>
      </c>
      <c r="J111" s="193" t="str">
        <f>+J91</f>
        <v>JULIO</v>
      </c>
      <c r="K111" s="205">
        <f>+G111*0.3</f>
        <v>315150000</v>
      </c>
      <c r="L111" s="205"/>
      <c r="M111" s="205"/>
      <c r="N111" s="205"/>
      <c r="O111" s="205"/>
      <c r="P111" s="1077"/>
      <c r="Q111" s="205"/>
      <c r="R111" s="346"/>
      <c r="S111" s="205"/>
      <c r="T111" s="193"/>
      <c r="U111" s="347"/>
      <c r="V111" s="1432"/>
      <c r="W111" s="374"/>
      <c r="X111" s="375"/>
      <c r="Y111" s="371"/>
      <c r="Z111" s="193"/>
      <c r="AA111" s="374"/>
      <c r="AB111" s="1432" t="s">
        <v>91</v>
      </c>
      <c r="AC111" s="347">
        <f>+G111*0.2</f>
        <v>210100000</v>
      </c>
      <c r="AD111" s="1432" t="s">
        <v>70</v>
      </c>
      <c r="AE111" s="374">
        <f>+G111*0.3</f>
        <v>315150000</v>
      </c>
      <c r="AF111" s="1432" t="s">
        <v>90</v>
      </c>
      <c r="AG111" s="374">
        <f>+G111*0.15</f>
        <v>157575000</v>
      </c>
      <c r="AH111" s="1432" t="s">
        <v>79</v>
      </c>
      <c r="AI111" s="371">
        <f>+G111*0.05</f>
        <v>52525000</v>
      </c>
      <c r="AJ111" s="1452">
        <f t="shared" si="6"/>
        <v>1050500000</v>
      </c>
      <c r="AK111" s="1442">
        <v>0.2</v>
      </c>
      <c r="AL111" s="72"/>
      <c r="AM111" s="1541">
        <v>0.15</v>
      </c>
    </row>
    <row r="112" spans="2:39" ht="67.5">
      <c r="B112" s="364"/>
      <c r="C112" s="387"/>
      <c r="D112" s="379" t="s">
        <v>714</v>
      </c>
      <c r="E112" s="124"/>
      <c r="F112" s="392" t="s">
        <v>773</v>
      </c>
      <c r="G112" s="397">
        <f>+G93*0.5</f>
        <v>1000000000</v>
      </c>
      <c r="H112" s="193" t="str">
        <f t="shared" ref="H112:J113" si="9">+H93</f>
        <v>ABRIL</v>
      </c>
      <c r="I112" s="373" t="str">
        <f t="shared" si="9"/>
        <v>JULIO</v>
      </c>
      <c r="J112" s="193" t="str">
        <f t="shared" si="9"/>
        <v>JULIO</v>
      </c>
      <c r="K112" s="205">
        <f>+G112*0.3</f>
        <v>300000000</v>
      </c>
      <c r="L112" s="205"/>
      <c r="M112" s="205"/>
      <c r="N112" s="205"/>
      <c r="O112" s="205"/>
      <c r="P112" s="1077"/>
      <c r="Q112" s="205"/>
      <c r="R112" s="346"/>
      <c r="S112" s="205"/>
      <c r="T112" s="193"/>
      <c r="U112" s="347"/>
      <c r="V112" s="1432"/>
      <c r="W112" s="374"/>
      <c r="X112" s="375"/>
      <c r="Y112" s="371"/>
      <c r="Z112" s="193"/>
      <c r="AA112" s="374"/>
      <c r="AB112" s="1432" t="s">
        <v>91</v>
      </c>
      <c r="AC112" s="347">
        <f>+G112*0.2</f>
        <v>200000000</v>
      </c>
      <c r="AD112" s="1432" t="s">
        <v>70</v>
      </c>
      <c r="AE112" s="374">
        <f>+G112*0.3</f>
        <v>300000000</v>
      </c>
      <c r="AF112" s="1432" t="s">
        <v>90</v>
      </c>
      <c r="AG112" s="374">
        <f>+G112*0.15</f>
        <v>150000000</v>
      </c>
      <c r="AH112" s="1432" t="s">
        <v>79</v>
      </c>
      <c r="AI112" s="371">
        <f>+G112*0.05</f>
        <v>50000000</v>
      </c>
      <c r="AJ112" s="1452">
        <f t="shared" si="6"/>
        <v>1000000000</v>
      </c>
      <c r="AK112" s="1442">
        <v>0.2</v>
      </c>
      <c r="AL112" s="72"/>
      <c r="AM112" s="1541"/>
    </row>
    <row r="113" spans="2:39" ht="67.5">
      <c r="B113" s="364"/>
      <c r="C113" s="387"/>
      <c r="D113" s="379" t="s">
        <v>424</v>
      </c>
      <c r="E113" s="124"/>
      <c r="F113" s="392" t="s">
        <v>774</v>
      </c>
      <c r="G113" s="397">
        <f>+G94*0.5</f>
        <v>1050000000</v>
      </c>
      <c r="H113" s="193" t="str">
        <f t="shared" si="9"/>
        <v>ABRIL</v>
      </c>
      <c r="I113" s="373" t="str">
        <f t="shared" si="9"/>
        <v>JULIO</v>
      </c>
      <c r="J113" s="193" t="str">
        <f t="shared" si="9"/>
        <v>JULIO</v>
      </c>
      <c r="K113" s="205">
        <f>+G113*0.3</f>
        <v>315000000</v>
      </c>
      <c r="L113" s="205"/>
      <c r="M113" s="205"/>
      <c r="N113" s="205"/>
      <c r="O113" s="205"/>
      <c r="P113" s="1077"/>
      <c r="Q113" s="205"/>
      <c r="R113" s="346"/>
      <c r="S113" s="205"/>
      <c r="T113" s="193"/>
      <c r="U113" s="347"/>
      <c r="V113" s="1432"/>
      <c r="W113" s="374"/>
      <c r="X113" s="375"/>
      <c r="Y113" s="371"/>
      <c r="Z113" s="193"/>
      <c r="AA113" s="374"/>
      <c r="AB113" s="1432" t="s">
        <v>91</v>
      </c>
      <c r="AC113" s="347">
        <f>+G113*0.2</f>
        <v>210000000</v>
      </c>
      <c r="AD113" s="1432" t="s">
        <v>70</v>
      </c>
      <c r="AE113" s="374">
        <f>+G113*0.3</f>
        <v>315000000</v>
      </c>
      <c r="AF113" s="1432" t="s">
        <v>90</v>
      </c>
      <c r="AG113" s="374">
        <f>+G113*0.15</f>
        <v>157500000</v>
      </c>
      <c r="AH113" s="1432" t="s">
        <v>79</v>
      </c>
      <c r="AI113" s="371">
        <f>+G113*0.05</f>
        <v>52500000</v>
      </c>
      <c r="AJ113" s="1452">
        <f t="shared" si="6"/>
        <v>1050000000</v>
      </c>
      <c r="AK113" s="1442">
        <v>0.2</v>
      </c>
      <c r="AL113" s="72"/>
      <c r="AM113" s="1541"/>
    </row>
    <row r="114" spans="2:39" ht="78.75">
      <c r="B114" s="364"/>
      <c r="C114" s="387"/>
      <c r="D114" s="379" t="s">
        <v>491</v>
      </c>
      <c r="E114" s="124"/>
      <c r="F114" s="392" t="s">
        <v>775</v>
      </c>
      <c r="G114" s="397">
        <f>+G106*0.5</f>
        <v>1400000000</v>
      </c>
      <c r="H114" s="193" t="str">
        <f>+H106</f>
        <v>MAYO</v>
      </c>
      <c r="I114" s="373" t="str">
        <f>+I106</f>
        <v>AGOSTO</v>
      </c>
      <c r="J114" s="193" t="str">
        <f>+J106</f>
        <v>AGOSTO</v>
      </c>
      <c r="K114" s="205">
        <f>+G114*0.3</f>
        <v>420000000</v>
      </c>
      <c r="L114" s="205"/>
      <c r="M114" s="205"/>
      <c r="N114" s="205"/>
      <c r="O114" s="205"/>
      <c r="P114" s="1077"/>
      <c r="Q114" s="205"/>
      <c r="R114" s="346"/>
      <c r="S114" s="205"/>
      <c r="T114" s="193"/>
      <c r="U114" s="347"/>
      <c r="V114" s="1432"/>
      <c r="W114" s="374"/>
      <c r="X114" s="375"/>
      <c r="Y114" s="371"/>
      <c r="Z114" s="193"/>
      <c r="AA114" s="374"/>
      <c r="AB114" s="1432"/>
      <c r="AC114" s="371"/>
      <c r="AD114" s="1432" t="s">
        <v>70</v>
      </c>
      <c r="AE114" s="1440">
        <f>+G114*0.2</f>
        <v>280000000</v>
      </c>
      <c r="AF114" s="1432" t="s">
        <v>90</v>
      </c>
      <c r="AG114" s="374">
        <f>+G114*0.3</f>
        <v>420000000</v>
      </c>
      <c r="AH114" s="1432" t="s">
        <v>79</v>
      </c>
      <c r="AI114" s="374">
        <f>+G114*0.2</f>
        <v>280000000</v>
      </c>
      <c r="AJ114" s="1452">
        <f t="shared" si="6"/>
        <v>1400000000</v>
      </c>
      <c r="AK114" s="1442">
        <v>0</v>
      </c>
      <c r="AL114" s="72"/>
      <c r="AM114" s="1541"/>
    </row>
    <row r="115" spans="2:39" ht="22.5">
      <c r="B115" s="362" t="s">
        <v>144</v>
      </c>
      <c r="C115" s="387"/>
      <c r="D115" s="344"/>
      <c r="E115" s="124"/>
      <c r="F115" s="124"/>
      <c r="G115" s="390"/>
      <c r="H115" s="193"/>
      <c r="I115" s="193"/>
      <c r="J115" s="193"/>
      <c r="K115" s="205"/>
      <c r="L115" s="205"/>
      <c r="M115" s="205"/>
      <c r="N115" s="205"/>
      <c r="O115" s="205"/>
      <c r="P115" s="1077"/>
      <c r="Q115" s="205"/>
      <c r="R115" s="346"/>
      <c r="S115" s="205"/>
      <c r="T115" s="124"/>
      <c r="U115" s="347"/>
      <c r="V115" s="1412"/>
      <c r="W115" s="348"/>
      <c r="X115" s="349"/>
      <c r="Y115" s="350"/>
      <c r="Z115" s="124"/>
      <c r="AA115" s="348"/>
      <c r="AB115" s="1412"/>
      <c r="AC115" s="350"/>
      <c r="AD115" s="1413"/>
      <c r="AE115" s="371"/>
      <c r="AF115" s="1413"/>
      <c r="AG115" s="350"/>
      <c r="AH115" s="1413"/>
      <c r="AI115" s="350"/>
      <c r="AJ115" s="1452"/>
      <c r="AK115" s="1442"/>
      <c r="AL115" s="72"/>
    </row>
    <row r="116" spans="2:39" ht="56.25">
      <c r="B116" s="364"/>
      <c r="C116" s="387"/>
      <c r="D116" s="394" t="s">
        <v>424</v>
      </c>
      <c r="E116" s="124"/>
      <c r="F116" s="392" t="s">
        <v>776</v>
      </c>
      <c r="G116" s="390">
        <v>700000000</v>
      </c>
      <c r="H116" s="193" t="s">
        <v>6</v>
      </c>
      <c r="I116" s="373" t="s">
        <v>69</v>
      </c>
      <c r="J116" s="193" t="s">
        <v>69</v>
      </c>
      <c r="K116" s="205">
        <f>+G116*0.3</f>
        <v>210000000</v>
      </c>
      <c r="L116" s="205"/>
      <c r="M116" s="205"/>
      <c r="N116" s="205"/>
      <c r="O116" s="205"/>
      <c r="P116" s="1077"/>
      <c r="Q116" s="205"/>
      <c r="R116" s="346"/>
      <c r="S116" s="205"/>
      <c r="T116" s="193"/>
      <c r="U116" s="347"/>
      <c r="V116" s="1432"/>
      <c r="W116" s="374"/>
      <c r="X116" s="375"/>
      <c r="Y116" s="371"/>
      <c r="Z116" s="193"/>
      <c r="AA116" s="374"/>
      <c r="AB116" s="1432" t="s">
        <v>91</v>
      </c>
      <c r="AC116" s="347">
        <f>+G116*0.2</f>
        <v>140000000</v>
      </c>
      <c r="AD116" s="1432" t="s">
        <v>70</v>
      </c>
      <c r="AE116" s="374">
        <f>+G116*0.3</f>
        <v>210000000</v>
      </c>
      <c r="AF116" s="1432" t="s">
        <v>90</v>
      </c>
      <c r="AG116" s="374">
        <f>+G116*0.2</f>
        <v>140000000</v>
      </c>
      <c r="AH116" s="1433"/>
      <c r="AI116" s="371"/>
      <c r="AJ116" s="1452">
        <f t="shared" si="6"/>
        <v>700000000</v>
      </c>
      <c r="AK116" s="1442">
        <v>0</v>
      </c>
      <c r="AL116" s="72"/>
      <c r="AM116" s="1221">
        <v>0</v>
      </c>
    </row>
    <row r="117" spans="2:39">
      <c r="B117" s="362" t="s">
        <v>777</v>
      </c>
      <c r="C117" s="387"/>
      <c r="D117" s="344"/>
      <c r="E117" s="124"/>
      <c r="F117" s="124"/>
      <c r="G117" s="390"/>
      <c r="H117" s="193"/>
      <c r="I117" s="193"/>
      <c r="J117" s="193"/>
      <c r="K117" s="205"/>
      <c r="L117" s="205"/>
      <c r="M117" s="205"/>
      <c r="N117" s="205"/>
      <c r="O117" s="205"/>
      <c r="P117" s="1077"/>
      <c r="Q117" s="205"/>
      <c r="R117" s="346"/>
      <c r="S117" s="205"/>
      <c r="T117" s="124"/>
      <c r="U117" s="347"/>
      <c r="V117" s="1412"/>
      <c r="W117" s="348"/>
      <c r="X117" s="349"/>
      <c r="Y117" s="350"/>
      <c r="Z117" s="124"/>
      <c r="AA117" s="348"/>
      <c r="AB117" s="1412"/>
      <c r="AC117" s="350"/>
      <c r="AD117" s="1413"/>
      <c r="AE117" s="371"/>
      <c r="AF117" s="1413"/>
      <c r="AG117" s="350"/>
      <c r="AH117" s="1413"/>
      <c r="AI117" s="350"/>
      <c r="AJ117" s="24"/>
      <c r="AK117" s="1442"/>
      <c r="AL117" s="72"/>
    </row>
    <row r="118" spans="2:39" ht="67.5">
      <c r="B118" s="364"/>
      <c r="C118" s="387"/>
      <c r="D118" s="379" t="s">
        <v>169</v>
      </c>
      <c r="E118" s="124"/>
      <c r="F118" s="392" t="s">
        <v>778</v>
      </c>
      <c r="G118" s="388">
        <v>1826000000</v>
      </c>
      <c r="H118" s="193" t="s">
        <v>6</v>
      </c>
      <c r="I118" s="373" t="s">
        <v>69</v>
      </c>
      <c r="J118" s="193" t="s">
        <v>69</v>
      </c>
      <c r="K118" s="205">
        <f>+G118*0.3</f>
        <v>547800000</v>
      </c>
      <c r="L118" s="205"/>
      <c r="M118" s="205"/>
      <c r="N118" s="205"/>
      <c r="O118" s="205"/>
      <c r="P118" s="1077"/>
      <c r="Q118" s="205"/>
      <c r="R118" s="346"/>
      <c r="S118" s="205"/>
      <c r="T118" s="193"/>
      <c r="U118" s="347"/>
      <c r="V118" s="1432"/>
      <c r="W118" s="374"/>
      <c r="X118" s="375"/>
      <c r="Y118" s="371"/>
      <c r="Z118" s="193"/>
      <c r="AA118" s="374"/>
      <c r="AB118" s="1432" t="s">
        <v>91</v>
      </c>
      <c r="AC118" s="347">
        <f>+G118*0.2</f>
        <v>365200000</v>
      </c>
      <c r="AD118" s="1432" t="s">
        <v>70</v>
      </c>
      <c r="AE118" s="374">
        <f>+G118*0.3</f>
        <v>547800000</v>
      </c>
      <c r="AF118" s="1432" t="s">
        <v>90</v>
      </c>
      <c r="AG118" s="374">
        <f>+G118*0.15</f>
        <v>273900000</v>
      </c>
      <c r="AH118" s="1432" t="s">
        <v>79</v>
      </c>
      <c r="AI118" s="371">
        <f>+G118*0.05</f>
        <v>91300000</v>
      </c>
      <c r="AJ118" s="1452">
        <f t="shared" si="6"/>
        <v>1826000000</v>
      </c>
      <c r="AK118" s="1442">
        <v>0</v>
      </c>
      <c r="AL118" s="72"/>
      <c r="AM118" s="1221">
        <v>0</v>
      </c>
    </row>
    <row r="119" spans="2:39" ht="67.5">
      <c r="B119" s="362" t="s">
        <v>176</v>
      </c>
      <c r="C119" s="387"/>
      <c r="D119" s="379"/>
      <c r="E119" s="124"/>
      <c r="F119" s="398"/>
      <c r="G119" s="393"/>
      <c r="H119" s="193"/>
      <c r="I119" s="373"/>
      <c r="J119" s="193"/>
      <c r="K119" s="205"/>
      <c r="L119" s="205"/>
      <c r="M119" s="205"/>
      <c r="N119" s="205"/>
      <c r="O119" s="205"/>
      <c r="P119" s="1077"/>
      <c r="Q119" s="205"/>
      <c r="R119" s="346"/>
      <c r="S119" s="205"/>
      <c r="T119" s="124"/>
      <c r="U119" s="347"/>
      <c r="V119" s="1412"/>
      <c r="W119" s="348"/>
      <c r="X119" s="349"/>
      <c r="Y119" s="350"/>
      <c r="Z119" s="124"/>
      <c r="AA119" s="348"/>
      <c r="AB119" s="1412"/>
      <c r="AC119" s="350"/>
      <c r="AD119" s="1413"/>
      <c r="AE119" s="371"/>
      <c r="AF119" s="1413"/>
      <c r="AG119" s="350"/>
      <c r="AH119" s="1413"/>
      <c r="AI119" s="350"/>
      <c r="AJ119" s="24"/>
      <c r="AK119" s="1414"/>
      <c r="AL119" s="72"/>
    </row>
    <row r="120" spans="2:39">
      <c r="B120" s="364"/>
      <c r="C120" s="387"/>
      <c r="D120" s="344" t="s">
        <v>730</v>
      </c>
      <c r="E120" s="124"/>
      <c r="F120" s="1670" t="s">
        <v>731</v>
      </c>
      <c r="G120" s="388">
        <v>6918000000</v>
      </c>
      <c r="H120" s="193"/>
      <c r="I120" s="193"/>
      <c r="J120" s="193"/>
      <c r="K120" s="205"/>
      <c r="L120" s="205"/>
      <c r="M120" s="205"/>
      <c r="N120" s="205"/>
      <c r="O120" s="205"/>
      <c r="P120" s="1077"/>
      <c r="Q120" s="205"/>
      <c r="R120" s="346"/>
      <c r="S120" s="205"/>
      <c r="T120" s="124"/>
      <c r="U120" s="347"/>
      <c r="V120" s="1412"/>
      <c r="W120" s="348"/>
      <c r="X120" s="349"/>
      <c r="Y120" s="350"/>
      <c r="Z120" s="124"/>
      <c r="AA120" s="348"/>
      <c r="AB120" s="1412"/>
      <c r="AC120" s="350"/>
      <c r="AD120" s="1413"/>
      <c r="AE120" s="371"/>
      <c r="AF120" s="1413"/>
      <c r="AG120" s="350"/>
      <c r="AH120" s="1413"/>
      <c r="AI120" s="350"/>
      <c r="AJ120" s="24"/>
      <c r="AK120" s="1414"/>
      <c r="AL120" s="72"/>
    </row>
    <row r="121" spans="2:39">
      <c r="B121" s="364"/>
      <c r="C121" s="387"/>
      <c r="D121" s="344" t="s">
        <v>732</v>
      </c>
      <c r="E121" s="124"/>
      <c r="F121" s="1670"/>
      <c r="G121" s="388">
        <v>6087000000</v>
      </c>
      <c r="H121" s="193"/>
      <c r="I121" s="193"/>
      <c r="J121" s="193"/>
      <c r="K121" s="205"/>
      <c r="L121" s="205"/>
      <c r="M121" s="205"/>
      <c r="N121" s="205"/>
      <c r="O121" s="205"/>
      <c r="P121" s="1077"/>
      <c r="Q121" s="205"/>
      <c r="R121" s="346"/>
      <c r="S121" s="205"/>
      <c r="T121" s="124"/>
      <c r="U121" s="347"/>
      <c r="V121" s="1412"/>
      <c r="W121" s="348"/>
      <c r="X121" s="349"/>
      <c r="Y121" s="350"/>
      <c r="Z121" s="124"/>
      <c r="AA121" s="348"/>
      <c r="AB121" s="1412"/>
      <c r="AC121" s="350"/>
      <c r="AD121" s="1413"/>
      <c r="AE121" s="371"/>
      <c r="AF121" s="1413"/>
      <c r="AG121" s="350"/>
      <c r="AH121" s="1413"/>
      <c r="AI121" s="350"/>
      <c r="AJ121" s="24"/>
      <c r="AK121" s="1414"/>
      <c r="AL121" s="72"/>
    </row>
    <row r="122" spans="2:39">
      <c r="B122" s="364"/>
      <c r="C122" s="387"/>
      <c r="D122" s="344" t="s">
        <v>733</v>
      </c>
      <c r="E122" s="124"/>
      <c r="F122" s="1670"/>
      <c r="G122" s="388">
        <v>4649000000</v>
      </c>
      <c r="H122" s="193"/>
      <c r="I122" s="193"/>
      <c r="J122" s="193"/>
      <c r="K122" s="205"/>
      <c r="L122" s="205"/>
      <c r="M122" s="205"/>
      <c r="N122" s="205"/>
      <c r="O122" s="205"/>
      <c r="P122" s="1077"/>
      <c r="Q122" s="205"/>
      <c r="R122" s="346"/>
      <c r="S122" s="205"/>
      <c r="T122" s="124"/>
      <c r="U122" s="347"/>
      <c r="V122" s="1412"/>
      <c r="W122" s="348"/>
      <c r="X122" s="349"/>
      <c r="Y122" s="350"/>
      <c r="Z122" s="124"/>
      <c r="AA122" s="348"/>
      <c r="AB122" s="1412"/>
      <c r="AC122" s="350"/>
      <c r="AD122" s="1413"/>
      <c r="AE122" s="371"/>
      <c r="AF122" s="1413"/>
      <c r="AG122" s="350"/>
      <c r="AH122" s="1413"/>
      <c r="AI122" s="350"/>
      <c r="AJ122" s="24"/>
      <c r="AK122" s="1414"/>
      <c r="AL122" s="72"/>
    </row>
    <row r="123" spans="2:39">
      <c r="B123" s="364"/>
      <c r="C123" s="387"/>
      <c r="D123" s="344" t="s">
        <v>105</v>
      </c>
      <c r="E123" s="124"/>
      <c r="F123" s="1670"/>
      <c r="G123" s="388">
        <v>4000000000</v>
      </c>
      <c r="H123" s="193"/>
      <c r="I123" s="193"/>
      <c r="J123" s="193"/>
      <c r="K123" s="205"/>
      <c r="L123" s="205"/>
      <c r="M123" s="205"/>
      <c r="N123" s="205"/>
      <c r="O123" s="205"/>
      <c r="P123" s="1077"/>
      <c r="Q123" s="205"/>
      <c r="R123" s="346"/>
      <c r="S123" s="205"/>
      <c r="T123" s="124"/>
      <c r="U123" s="347"/>
      <c r="V123" s="1412"/>
      <c r="W123" s="348"/>
      <c r="X123" s="349"/>
      <c r="Y123" s="350"/>
      <c r="Z123" s="124"/>
      <c r="AA123" s="348"/>
      <c r="AB123" s="1412"/>
      <c r="AC123" s="350"/>
      <c r="AD123" s="1413"/>
      <c r="AE123" s="371"/>
      <c r="AF123" s="1413"/>
      <c r="AG123" s="350"/>
      <c r="AH123" s="1413"/>
      <c r="AI123" s="350"/>
      <c r="AJ123" s="24"/>
      <c r="AK123" s="1414"/>
      <c r="AL123" s="72"/>
    </row>
    <row r="124" spans="2:39">
      <c r="B124" s="364"/>
      <c r="C124" s="387"/>
      <c r="D124" s="344" t="s">
        <v>734</v>
      </c>
      <c r="E124" s="124"/>
      <c r="F124" s="1670"/>
      <c r="G124" s="388">
        <v>3870000000</v>
      </c>
      <c r="H124" s="193"/>
      <c r="I124" s="193"/>
      <c r="J124" s="193"/>
      <c r="K124" s="205"/>
      <c r="L124" s="205"/>
      <c r="M124" s="205"/>
      <c r="N124" s="205"/>
      <c r="O124" s="205"/>
      <c r="P124" s="1077"/>
      <c r="Q124" s="205"/>
      <c r="R124" s="346"/>
      <c r="S124" s="205"/>
      <c r="T124" s="124"/>
      <c r="U124" s="347"/>
      <c r="V124" s="1412"/>
      <c r="W124" s="348"/>
      <c r="X124" s="349"/>
      <c r="Y124" s="350"/>
      <c r="Z124" s="124"/>
      <c r="AA124" s="348"/>
      <c r="AB124" s="1412"/>
      <c r="AC124" s="350"/>
      <c r="AD124" s="1413"/>
      <c r="AE124" s="371"/>
      <c r="AF124" s="1413"/>
      <c r="AG124" s="350"/>
      <c r="AH124" s="1413"/>
      <c r="AI124" s="350"/>
      <c r="AJ124" s="24"/>
      <c r="AK124" s="1414"/>
      <c r="AL124" s="72"/>
    </row>
    <row r="125" spans="2:39">
      <c r="B125" s="364"/>
      <c r="C125" s="387"/>
      <c r="D125" s="344" t="s">
        <v>735</v>
      </c>
      <c r="E125" s="124"/>
      <c r="F125" s="1671"/>
      <c r="G125" s="388">
        <v>4127000000</v>
      </c>
      <c r="H125" s="193"/>
      <c r="I125" s="193"/>
      <c r="J125" s="193"/>
      <c r="K125" s="205"/>
      <c r="L125" s="205"/>
      <c r="M125" s="205"/>
      <c r="N125" s="205"/>
      <c r="O125" s="205"/>
      <c r="P125" s="1077"/>
      <c r="Q125" s="205"/>
      <c r="R125" s="346"/>
      <c r="S125" s="205"/>
      <c r="T125" s="124"/>
      <c r="U125" s="347"/>
      <c r="V125" s="1412"/>
      <c r="W125" s="348"/>
      <c r="X125" s="349"/>
      <c r="Y125" s="350"/>
      <c r="Z125" s="124"/>
      <c r="AA125" s="348"/>
      <c r="AB125" s="1412"/>
      <c r="AC125" s="350"/>
      <c r="AD125" s="1413"/>
      <c r="AE125" s="371"/>
      <c r="AF125" s="1413"/>
      <c r="AG125" s="350"/>
      <c r="AH125" s="1413"/>
      <c r="AI125" s="350"/>
      <c r="AJ125" s="24"/>
      <c r="AK125" s="1414"/>
      <c r="AL125" s="72"/>
    </row>
    <row r="126" spans="2:39" ht="22.5">
      <c r="B126" s="362" t="s">
        <v>779</v>
      </c>
      <c r="C126" s="387"/>
      <c r="D126" s="399"/>
      <c r="E126" s="124"/>
      <c r="F126" s="124"/>
      <c r="G126" s="388"/>
      <c r="H126" s="193"/>
      <c r="I126" s="193"/>
      <c r="J126" s="193"/>
      <c r="K126" s="205"/>
      <c r="L126" s="205"/>
      <c r="M126" s="205"/>
      <c r="N126" s="205"/>
      <c r="O126" s="205"/>
      <c r="P126" s="1077"/>
      <c r="Q126" s="205"/>
      <c r="R126" s="346"/>
      <c r="S126" s="205"/>
      <c r="T126" s="124"/>
      <c r="U126" s="347"/>
      <c r="V126" s="1412"/>
      <c r="W126" s="348"/>
      <c r="X126" s="349"/>
      <c r="Y126" s="350"/>
      <c r="Z126" s="124"/>
      <c r="AA126" s="348"/>
      <c r="AB126" s="1412"/>
      <c r="AC126" s="350"/>
      <c r="AD126" s="1413"/>
      <c r="AE126" s="371"/>
      <c r="AF126" s="1413"/>
      <c r="AG126" s="350"/>
      <c r="AH126" s="1413"/>
      <c r="AI126" s="350"/>
      <c r="AJ126" s="24"/>
      <c r="AK126" s="1414"/>
      <c r="AL126" s="72"/>
    </row>
    <row r="127" spans="2:39">
      <c r="B127" s="364"/>
      <c r="C127" s="400"/>
      <c r="D127" s="399" t="s">
        <v>0</v>
      </c>
      <c r="E127" s="124"/>
      <c r="F127" s="124"/>
      <c r="G127" s="388">
        <v>12028000000</v>
      </c>
      <c r="H127" s="193" t="s">
        <v>710</v>
      </c>
      <c r="I127" s="193"/>
      <c r="J127" s="193"/>
      <c r="K127" s="205"/>
      <c r="L127" s="205"/>
      <c r="M127" s="205"/>
      <c r="N127" s="205"/>
      <c r="O127" s="205"/>
      <c r="P127" s="1077"/>
      <c r="Q127" s="205"/>
      <c r="R127" s="346"/>
      <c r="S127" s="205"/>
      <c r="T127" s="124"/>
      <c r="U127" s="347"/>
      <c r="V127" s="1412"/>
      <c r="W127" s="348"/>
      <c r="X127" s="349"/>
      <c r="Y127" s="350"/>
      <c r="Z127" s="124"/>
      <c r="AA127" s="348"/>
      <c r="AB127" s="1412"/>
      <c r="AC127" s="350"/>
      <c r="AD127" s="1413"/>
      <c r="AE127" s="371"/>
      <c r="AF127" s="1413"/>
      <c r="AG127" s="350"/>
      <c r="AH127" s="1413"/>
      <c r="AI127" s="350"/>
      <c r="AJ127" s="24"/>
      <c r="AK127" s="1414"/>
      <c r="AL127" s="72"/>
    </row>
    <row r="128" spans="2:39" ht="78.75">
      <c r="B128" s="351" t="s">
        <v>780</v>
      </c>
      <c r="C128" s="401">
        <f>SUM(G129:G154)</f>
        <v>7670730823</v>
      </c>
      <c r="D128" s="402"/>
      <c r="E128" s="343"/>
      <c r="F128" s="193"/>
      <c r="G128" s="345"/>
      <c r="H128" s="193"/>
      <c r="I128" s="343"/>
      <c r="J128" s="193"/>
      <c r="K128" s="205"/>
      <c r="L128" s="205"/>
      <c r="M128" s="205"/>
      <c r="N128" s="205"/>
      <c r="O128" s="205"/>
      <c r="P128" s="1077"/>
      <c r="Q128" s="205"/>
      <c r="R128" s="346"/>
      <c r="S128" s="205"/>
      <c r="T128" s="193"/>
      <c r="U128" s="403"/>
      <c r="V128" s="1432"/>
      <c r="W128" s="404"/>
      <c r="X128" s="405"/>
      <c r="Y128" s="406"/>
      <c r="Z128" s="193"/>
      <c r="AA128" s="404"/>
      <c r="AB128" s="1432"/>
      <c r="AC128" s="406"/>
      <c r="AD128" s="1455"/>
      <c r="AE128" s="1456"/>
      <c r="AF128" s="1455"/>
      <c r="AG128" s="406"/>
      <c r="AH128" s="1455"/>
      <c r="AI128" s="406"/>
      <c r="AJ128" s="193"/>
      <c r="AK128" s="1414"/>
      <c r="AL128" s="72"/>
    </row>
    <row r="129" spans="2:39">
      <c r="B129" s="407"/>
      <c r="C129" s="408"/>
      <c r="D129" s="409" t="s">
        <v>108</v>
      </c>
      <c r="E129" s="193" t="s">
        <v>161</v>
      </c>
      <c r="F129" s="1669" t="s">
        <v>781</v>
      </c>
      <c r="G129" s="385">
        <v>100000000</v>
      </c>
      <c r="H129" s="205">
        <f>SUM(G129:G134)</f>
        <v>1300000000</v>
      </c>
      <c r="I129" s="1661" t="s">
        <v>782</v>
      </c>
      <c r="J129" s="1661" t="s">
        <v>783</v>
      </c>
      <c r="K129" s="1664" t="s">
        <v>37</v>
      </c>
      <c r="L129" s="1400"/>
      <c r="M129" s="1400"/>
      <c r="N129" s="1400"/>
      <c r="O129" s="1400"/>
      <c r="P129" s="1404"/>
      <c r="Q129" s="1400"/>
      <c r="R129" s="410"/>
      <c r="S129" s="1400"/>
      <c r="T129" s="193"/>
      <c r="U129" s="403"/>
      <c r="V129" s="1432"/>
      <c r="W129" s="404"/>
      <c r="X129" s="1651"/>
      <c r="Y129" s="1651"/>
      <c r="Z129" s="1651" t="s">
        <v>89</v>
      </c>
      <c r="AA129" s="1651">
        <f>+H129*0.2</f>
        <v>260000000</v>
      </c>
      <c r="AB129" s="1655" t="s">
        <v>91</v>
      </c>
      <c r="AC129" s="1648" t="e">
        <f>+$H$130*0.2</f>
        <v>#VALUE!</v>
      </c>
      <c r="AD129" s="1655" t="s">
        <v>70</v>
      </c>
      <c r="AE129" s="1680" t="e">
        <f>+$H$130*0.2</f>
        <v>#VALUE!</v>
      </c>
      <c r="AF129" s="1655" t="s">
        <v>90</v>
      </c>
      <c r="AG129" s="1648" t="e">
        <f>+$H$130*0.2</f>
        <v>#VALUE!</v>
      </c>
      <c r="AH129" s="1655" t="s">
        <v>79</v>
      </c>
      <c r="AI129" s="1648" t="e">
        <f>+$H$130*0.2</f>
        <v>#VALUE!</v>
      </c>
      <c r="AJ129" s="1648" t="e">
        <f>+AI129+AG129+AE129+AC129+AA129</f>
        <v>#VALUE!</v>
      </c>
      <c r="AK129" s="1414"/>
      <c r="AL129" s="72"/>
      <c r="AM129" s="1541">
        <v>0</v>
      </c>
    </row>
    <row r="130" spans="2:39">
      <c r="B130" s="407"/>
      <c r="C130" s="343"/>
      <c r="D130" s="409" t="s">
        <v>110</v>
      </c>
      <c r="E130" s="193" t="s">
        <v>14</v>
      </c>
      <c r="F130" s="1670"/>
      <c r="G130" s="385">
        <v>240000000</v>
      </c>
      <c r="H130" s="205" t="s">
        <v>218</v>
      </c>
      <c r="I130" s="1662"/>
      <c r="J130" s="1662"/>
      <c r="K130" s="1665"/>
      <c r="L130" s="1401"/>
      <c r="M130" s="1401"/>
      <c r="N130" s="1401"/>
      <c r="O130" s="1401"/>
      <c r="P130" s="1405"/>
      <c r="Q130" s="1401"/>
      <c r="R130" s="411"/>
      <c r="S130" s="1401"/>
      <c r="T130" s="193"/>
      <c r="U130" s="403"/>
      <c r="V130" s="1432"/>
      <c r="W130" s="404"/>
      <c r="X130" s="1649"/>
      <c r="Y130" s="1649"/>
      <c r="Z130" s="1649"/>
      <c r="AA130" s="1649"/>
      <c r="AB130" s="1656"/>
      <c r="AC130" s="1649"/>
      <c r="AD130" s="1656"/>
      <c r="AE130" s="1681"/>
      <c r="AF130" s="1656"/>
      <c r="AG130" s="1649"/>
      <c r="AH130" s="1656"/>
      <c r="AI130" s="1649"/>
      <c r="AJ130" s="1649"/>
      <c r="AK130" s="1414"/>
      <c r="AL130" s="72"/>
      <c r="AM130" s="1541"/>
    </row>
    <row r="131" spans="2:39">
      <c r="B131" s="407"/>
      <c r="C131" s="343"/>
      <c r="D131" s="409" t="s">
        <v>111</v>
      </c>
      <c r="E131" s="193" t="s">
        <v>14</v>
      </c>
      <c r="F131" s="1670"/>
      <c r="G131" s="385">
        <v>240000000</v>
      </c>
      <c r="H131" s="205" t="s">
        <v>218</v>
      </c>
      <c r="I131" s="1662"/>
      <c r="J131" s="1662"/>
      <c r="K131" s="1665"/>
      <c r="L131" s="1401"/>
      <c r="M131" s="1401"/>
      <c r="N131" s="1401"/>
      <c r="O131" s="1401"/>
      <c r="P131" s="1405"/>
      <c r="Q131" s="1401"/>
      <c r="R131" s="411"/>
      <c r="S131" s="1401"/>
      <c r="T131" s="193"/>
      <c r="U131" s="403"/>
      <c r="V131" s="1432"/>
      <c r="W131" s="404"/>
      <c r="X131" s="1649"/>
      <c r="Y131" s="1649"/>
      <c r="Z131" s="1649"/>
      <c r="AA131" s="1649"/>
      <c r="AB131" s="1656"/>
      <c r="AC131" s="1649"/>
      <c r="AD131" s="1656"/>
      <c r="AE131" s="1681"/>
      <c r="AF131" s="1656"/>
      <c r="AG131" s="1649"/>
      <c r="AH131" s="1656"/>
      <c r="AI131" s="1649"/>
      <c r="AJ131" s="1649"/>
      <c r="AK131" s="1442">
        <v>0</v>
      </c>
      <c r="AL131" s="72"/>
      <c r="AM131" s="1541"/>
    </row>
    <row r="132" spans="2:39">
      <c r="B132" s="407"/>
      <c r="C132" s="343"/>
      <c r="D132" s="409" t="s">
        <v>112</v>
      </c>
      <c r="E132" s="193" t="s">
        <v>14</v>
      </c>
      <c r="F132" s="1670"/>
      <c r="G132" s="385">
        <v>240000000</v>
      </c>
      <c r="H132" s="205" t="s">
        <v>218</v>
      </c>
      <c r="I132" s="1662"/>
      <c r="J132" s="1662"/>
      <c r="K132" s="1665"/>
      <c r="L132" s="1401"/>
      <c r="M132" s="1401"/>
      <c r="N132" s="1401"/>
      <c r="O132" s="1401"/>
      <c r="P132" s="1405"/>
      <c r="Q132" s="1401"/>
      <c r="R132" s="411"/>
      <c r="S132" s="1401"/>
      <c r="T132" s="193"/>
      <c r="U132" s="403"/>
      <c r="V132" s="1432"/>
      <c r="W132" s="404"/>
      <c r="X132" s="1649"/>
      <c r="Y132" s="1649"/>
      <c r="Z132" s="1649"/>
      <c r="AA132" s="1649"/>
      <c r="AB132" s="1656"/>
      <c r="AC132" s="1649"/>
      <c r="AD132" s="1656"/>
      <c r="AE132" s="1681"/>
      <c r="AF132" s="1656"/>
      <c r="AG132" s="1649"/>
      <c r="AH132" s="1656"/>
      <c r="AI132" s="1649"/>
      <c r="AJ132" s="1649"/>
      <c r="AK132" s="1414"/>
      <c r="AL132" s="72"/>
      <c r="AM132" s="1541"/>
    </row>
    <row r="133" spans="2:39">
      <c r="B133" s="407"/>
      <c r="C133" s="343"/>
      <c r="D133" s="409" t="s">
        <v>113</v>
      </c>
      <c r="E133" s="193" t="s">
        <v>14</v>
      </c>
      <c r="F133" s="1670"/>
      <c r="G133" s="385">
        <v>240000000</v>
      </c>
      <c r="H133" s="205" t="s">
        <v>218</v>
      </c>
      <c r="I133" s="1662"/>
      <c r="J133" s="1662"/>
      <c r="K133" s="1665"/>
      <c r="L133" s="1401"/>
      <c r="M133" s="1401"/>
      <c r="N133" s="1401"/>
      <c r="O133" s="1401"/>
      <c r="P133" s="1405"/>
      <c r="Q133" s="1401"/>
      <c r="R133" s="411"/>
      <c r="S133" s="1401"/>
      <c r="T133" s="193"/>
      <c r="U133" s="403"/>
      <c r="V133" s="1432"/>
      <c r="W133" s="404"/>
      <c r="X133" s="1649"/>
      <c r="Y133" s="1649"/>
      <c r="Z133" s="1649"/>
      <c r="AA133" s="1649"/>
      <c r="AB133" s="1656"/>
      <c r="AC133" s="1649"/>
      <c r="AD133" s="1656"/>
      <c r="AE133" s="1681"/>
      <c r="AF133" s="1656"/>
      <c r="AG133" s="1649"/>
      <c r="AH133" s="1656"/>
      <c r="AI133" s="1649"/>
      <c r="AJ133" s="1649"/>
      <c r="AK133" s="1414"/>
      <c r="AL133" s="72"/>
      <c r="AM133" s="1541"/>
    </row>
    <row r="134" spans="2:39">
      <c r="B134" s="407"/>
      <c r="C134" s="343"/>
      <c r="D134" s="409" t="s">
        <v>114</v>
      </c>
      <c r="E134" s="193" t="s">
        <v>14</v>
      </c>
      <c r="F134" s="1671"/>
      <c r="G134" s="385">
        <v>240000000</v>
      </c>
      <c r="H134" s="205" t="s">
        <v>218</v>
      </c>
      <c r="I134" s="1663"/>
      <c r="J134" s="1663"/>
      <c r="K134" s="1666"/>
      <c r="L134" s="1402"/>
      <c r="M134" s="1402"/>
      <c r="N134" s="1402"/>
      <c r="O134" s="1402"/>
      <c r="P134" s="1406"/>
      <c r="Q134" s="1402"/>
      <c r="R134" s="412"/>
      <c r="S134" s="1402"/>
      <c r="T134" s="193"/>
      <c r="U134" s="403"/>
      <c r="V134" s="1432"/>
      <c r="W134" s="404"/>
      <c r="X134" s="1650"/>
      <c r="Y134" s="1650"/>
      <c r="Z134" s="1650"/>
      <c r="AA134" s="1650"/>
      <c r="AB134" s="1657"/>
      <c r="AC134" s="1650"/>
      <c r="AD134" s="1657"/>
      <c r="AE134" s="1682"/>
      <c r="AF134" s="1657"/>
      <c r="AG134" s="1650"/>
      <c r="AH134" s="1657"/>
      <c r="AI134" s="1650"/>
      <c r="AJ134" s="1650"/>
      <c r="AK134" s="1414"/>
      <c r="AL134" s="72"/>
      <c r="AM134" s="1541"/>
    </row>
    <row r="135" spans="2:39">
      <c r="B135" s="407"/>
      <c r="C135" s="343"/>
      <c r="D135" s="409" t="s">
        <v>424</v>
      </c>
      <c r="E135" s="193" t="s">
        <v>14</v>
      </c>
      <c r="F135" s="1669" t="s">
        <v>784</v>
      </c>
      <c r="G135" s="385">
        <v>180000000</v>
      </c>
      <c r="H135" s="205">
        <f>SUM(G135:G140)</f>
        <v>1000000000</v>
      </c>
      <c r="I135" s="1661" t="s">
        <v>782</v>
      </c>
      <c r="J135" s="1661" t="s">
        <v>783</v>
      </c>
      <c r="K135" s="1664" t="s">
        <v>37</v>
      </c>
      <c r="L135" s="1400"/>
      <c r="M135" s="1400"/>
      <c r="N135" s="1400"/>
      <c r="O135" s="1400"/>
      <c r="P135" s="1404"/>
      <c r="Q135" s="1400"/>
      <c r="R135" s="410"/>
      <c r="S135" s="1400"/>
      <c r="T135" s="193"/>
      <c r="U135" s="403"/>
      <c r="V135" s="1432"/>
      <c r="W135" s="404"/>
      <c r="X135" s="1651"/>
      <c r="Y135" s="1651"/>
      <c r="Z135" s="1651" t="s">
        <v>89</v>
      </c>
      <c r="AA135" s="1648" t="e">
        <f>+$H$136*0.2</f>
        <v>#VALUE!</v>
      </c>
      <c r="AB135" s="1655" t="s">
        <v>785</v>
      </c>
      <c r="AC135" s="1648" t="e">
        <f>+$H$136*0.2</f>
        <v>#VALUE!</v>
      </c>
      <c r="AD135" s="1655" t="s">
        <v>70</v>
      </c>
      <c r="AE135" s="1680" t="e">
        <f>+$H$136*0.2</f>
        <v>#VALUE!</v>
      </c>
      <c r="AF135" s="1655" t="s">
        <v>90</v>
      </c>
      <c r="AG135" s="1648" t="e">
        <f>+$H$136*0.2</f>
        <v>#VALUE!</v>
      </c>
      <c r="AH135" s="1655" t="s">
        <v>79</v>
      </c>
      <c r="AI135" s="1648" t="e">
        <f>+$H$136*0.2</f>
        <v>#VALUE!</v>
      </c>
      <c r="AJ135" s="1648" t="e">
        <f>+AI135+AG135+AE135+AC135+AA135</f>
        <v>#VALUE!</v>
      </c>
      <c r="AK135" s="1414"/>
      <c r="AL135" s="72"/>
      <c r="AM135" s="1541"/>
    </row>
    <row r="136" spans="2:39">
      <c r="B136" s="407"/>
      <c r="C136" s="343"/>
      <c r="D136" s="409" t="s">
        <v>685</v>
      </c>
      <c r="E136" s="193" t="s">
        <v>14</v>
      </c>
      <c r="F136" s="1670"/>
      <c r="G136" s="385">
        <v>180000000</v>
      </c>
      <c r="H136" s="205" t="s">
        <v>218</v>
      </c>
      <c r="I136" s="1662"/>
      <c r="J136" s="1662"/>
      <c r="K136" s="1665"/>
      <c r="L136" s="1401"/>
      <c r="M136" s="1401"/>
      <c r="N136" s="1401"/>
      <c r="O136" s="1401"/>
      <c r="P136" s="1405"/>
      <c r="Q136" s="1401"/>
      <c r="R136" s="411"/>
      <c r="S136" s="1401"/>
      <c r="T136" s="193"/>
      <c r="U136" s="403"/>
      <c r="V136" s="1432"/>
      <c r="W136" s="404"/>
      <c r="X136" s="1649"/>
      <c r="Y136" s="1649"/>
      <c r="Z136" s="1649"/>
      <c r="AA136" s="1649"/>
      <c r="AB136" s="1656"/>
      <c r="AC136" s="1649"/>
      <c r="AD136" s="1656"/>
      <c r="AE136" s="1681"/>
      <c r="AF136" s="1656"/>
      <c r="AG136" s="1649"/>
      <c r="AH136" s="1656"/>
      <c r="AI136" s="1649"/>
      <c r="AJ136" s="1649"/>
      <c r="AK136" s="1414"/>
      <c r="AL136" s="72"/>
      <c r="AM136" s="1541"/>
    </row>
    <row r="137" spans="2:39">
      <c r="B137" s="407"/>
      <c r="C137" s="343"/>
      <c r="D137" s="409" t="s">
        <v>496</v>
      </c>
      <c r="E137" s="193" t="s">
        <v>161</v>
      </c>
      <c r="F137" s="1670"/>
      <c r="G137" s="413">
        <v>100000000</v>
      </c>
      <c r="H137" s="206" t="s">
        <v>218</v>
      </c>
      <c r="I137" s="1662"/>
      <c r="J137" s="1662"/>
      <c r="K137" s="1665"/>
      <c r="L137" s="1401"/>
      <c r="M137" s="1401"/>
      <c r="N137" s="1401"/>
      <c r="O137" s="1401"/>
      <c r="P137" s="1405"/>
      <c r="Q137" s="1401"/>
      <c r="R137" s="411"/>
      <c r="S137" s="1401"/>
      <c r="T137" s="193"/>
      <c r="U137" s="403"/>
      <c r="V137" s="1432"/>
      <c r="W137" s="404"/>
      <c r="X137" s="1649"/>
      <c r="Y137" s="1649"/>
      <c r="Z137" s="1649"/>
      <c r="AA137" s="1649"/>
      <c r="AB137" s="1656"/>
      <c r="AC137" s="1649"/>
      <c r="AD137" s="1656"/>
      <c r="AE137" s="1681"/>
      <c r="AF137" s="1656"/>
      <c r="AG137" s="1649"/>
      <c r="AH137" s="1656"/>
      <c r="AI137" s="1649"/>
      <c r="AJ137" s="1649"/>
      <c r="AK137" s="1414"/>
      <c r="AL137" s="72"/>
      <c r="AM137" s="1541"/>
    </row>
    <row r="138" spans="2:39" ht="22.5">
      <c r="B138" s="407"/>
      <c r="C138" s="343"/>
      <c r="D138" s="409" t="s">
        <v>786</v>
      </c>
      <c r="E138" s="193" t="s">
        <v>14</v>
      </c>
      <c r="F138" s="1670"/>
      <c r="G138" s="385">
        <v>180000000</v>
      </c>
      <c r="H138" s="205" t="s">
        <v>218</v>
      </c>
      <c r="I138" s="1662"/>
      <c r="J138" s="1662"/>
      <c r="K138" s="1665"/>
      <c r="L138" s="1401"/>
      <c r="M138" s="1401"/>
      <c r="N138" s="1401"/>
      <c r="O138" s="1401"/>
      <c r="P138" s="1405"/>
      <c r="Q138" s="1401"/>
      <c r="R138" s="411"/>
      <c r="S138" s="1401"/>
      <c r="T138" s="193"/>
      <c r="U138" s="403"/>
      <c r="V138" s="1432"/>
      <c r="W138" s="404"/>
      <c r="X138" s="1649"/>
      <c r="Y138" s="1649"/>
      <c r="Z138" s="1649"/>
      <c r="AA138" s="1649"/>
      <c r="AB138" s="1656"/>
      <c r="AC138" s="1649"/>
      <c r="AD138" s="1656"/>
      <c r="AE138" s="1681"/>
      <c r="AF138" s="1656"/>
      <c r="AG138" s="1649"/>
      <c r="AH138" s="1656"/>
      <c r="AI138" s="1649"/>
      <c r="AJ138" s="1649"/>
      <c r="AK138" s="1442">
        <v>0</v>
      </c>
      <c r="AL138" s="72"/>
      <c r="AM138" s="1541"/>
    </row>
    <row r="139" spans="2:39">
      <c r="B139" s="407"/>
      <c r="C139" s="343"/>
      <c r="D139" s="409" t="s">
        <v>787</v>
      </c>
      <c r="E139" s="193" t="s">
        <v>14</v>
      </c>
      <c r="F139" s="1670"/>
      <c r="G139" s="385">
        <v>180000000</v>
      </c>
      <c r="H139" s="205" t="s">
        <v>218</v>
      </c>
      <c r="I139" s="1662"/>
      <c r="J139" s="1662"/>
      <c r="K139" s="1665"/>
      <c r="L139" s="1401"/>
      <c r="M139" s="1401"/>
      <c r="N139" s="1401"/>
      <c r="O139" s="1401"/>
      <c r="P139" s="1405"/>
      <c r="Q139" s="1401"/>
      <c r="R139" s="411"/>
      <c r="S139" s="1401"/>
      <c r="T139" s="193"/>
      <c r="U139" s="403"/>
      <c r="V139" s="1432"/>
      <c r="W139" s="404"/>
      <c r="X139" s="1649"/>
      <c r="Y139" s="1649"/>
      <c r="Z139" s="1649"/>
      <c r="AA139" s="1649"/>
      <c r="AB139" s="1656"/>
      <c r="AC139" s="1649"/>
      <c r="AD139" s="1656"/>
      <c r="AE139" s="1681"/>
      <c r="AF139" s="1656"/>
      <c r="AG139" s="1649"/>
      <c r="AH139" s="1656"/>
      <c r="AI139" s="1649"/>
      <c r="AJ139" s="1649"/>
      <c r="AK139" s="1414"/>
      <c r="AL139" s="72"/>
      <c r="AM139" s="1541"/>
    </row>
    <row r="140" spans="2:39">
      <c r="B140" s="407"/>
      <c r="C140" s="343"/>
      <c r="D140" s="409" t="s">
        <v>740</v>
      </c>
      <c r="E140" s="193" t="s">
        <v>14</v>
      </c>
      <c r="F140" s="1671"/>
      <c r="G140" s="385">
        <v>180000000</v>
      </c>
      <c r="H140" s="205" t="s">
        <v>218</v>
      </c>
      <c r="I140" s="1663"/>
      <c r="J140" s="1663"/>
      <c r="K140" s="1666"/>
      <c r="L140" s="1402"/>
      <c r="M140" s="1402"/>
      <c r="N140" s="1402"/>
      <c r="O140" s="1402"/>
      <c r="P140" s="1406"/>
      <c r="Q140" s="1402"/>
      <c r="R140" s="412"/>
      <c r="S140" s="1402"/>
      <c r="T140" s="193"/>
      <c r="U140" s="403"/>
      <c r="V140" s="1432"/>
      <c r="W140" s="404"/>
      <c r="X140" s="1650"/>
      <c r="Y140" s="1650"/>
      <c r="Z140" s="1650"/>
      <c r="AA140" s="1650"/>
      <c r="AB140" s="1657"/>
      <c r="AC140" s="1650"/>
      <c r="AD140" s="1657"/>
      <c r="AE140" s="1682"/>
      <c r="AF140" s="1657"/>
      <c r="AG140" s="1650"/>
      <c r="AH140" s="1657"/>
      <c r="AI140" s="1650"/>
      <c r="AJ140" s="1650"/>
      <c r="AK140" s="1414"/>
      <c r="AL140" s="72"/>
      <c r="AM140" s="1541"/>
    </row>
    <row r="141" spans="2:39">
      <c r="B141" s="407"/>
      <c r="C141" s="343"/>
      <c r="D141" s="409" t="s">
        <v>80</v>
      </c>
      <c r="E141" s="193" t="s">
        <v>14</v>
      </c>
      <c r="F141" s="1669" t="s">
        <v>788</v>
      </c>
      <c r="G141" s="385">
        <v>170000000</v>
      </c>
      <c r="H141" s="205">
        <f>SUM(G141:G145)</f>
        <v>850000000</v>
      </c>
      <c r="I141" s="1661" t="s">
        <v>782</v>
      </c>
      <c r="J141" s="1661" t="s">
        <v>783</v>
      </c>
      <c r="K141" s="1664" t="s">
        <v>37</v>
      </c>
      <c r="L141" s="1400"/>
      <c r="M141" s="1400"/>
      <c r="N141" s="1400"/>
      <c r="O141" s="1400"/>
      <c r="P141" s="1404"/>
      <c r="Q141" s="1400"/>
      <c r="R141" s="410"/>
      <c r="S141" s="1400"/>
      <c r="T141" s="193"/>
      <c r="U141" s="403"/>
      <c r="V141" s="1432"/>
      <c r="W141" s="404"/>
      <c r="X141" s="1651"/>
      <c r="Y141" s="1651"/>
      <c r="Z141" s="1651" t="s">
        <v>89</v>
      </c>
      <c r="AA141" s="1652" t="e">
        <f>+$H$142*0.2</f>
        <v>#VALUE!</v>
      </c>
      <c r="AB141" s="1655" t="s">
        <v>91</v>
      </c>
      <c r="AC141" s="1652" t="e">
        <f>+$H$142*0.2</f>
        <v>#VALUE!</v>
      </c>
      <c r="AD141" s="1655" t="s">
        <v>70</v>
      </c>
      <c r="AE141" s="1658" t="e">
        <f>+$H$142*0.2</f>
        <v>#VALUE!</v>
      </c>
      <c r="AF141" s="1655" t="s">
        <v>90</v>
      </c>
      <c r="AG141" s="1652" t="e">
        <f>+$H$142*0.2</f>
        <v>#VALUE!</v>
      </c>
      <c r="AH141" s="1655" t="s">
        <v>79</v>
      </c>
      <c r="AI141" s="1652" t="e">
        <f>+$H$142*0.2</f>
        <v>#VALUE!</v>
      </c>
      <c r="AJ141" s="1648" t="e">
        <f>+AI141+AG141+AE141+AC141+AA141</f>
        <v>#VALUE!</v>
      </c>
      <c r="AK141" s="1414"/>
      <c r="AL141" s="72"/>
      <c r="AM141" s="1541"/>
    </row>
    <row r="142" spans="2:39">
      <c r="B142" s="407"/>
      <c r="C142" s="343"/>
      <c r="D142" s="409" t="s">
        <v>789</v>
      </c>
      <c r="E142" s="193" t="s">
        <v>14</v>
      </c>
      <c r="F142" s="1670"/>
      <c r="G142" s="385">
        <v>170000000</v>
      </c>
      <c r="H142" s="205" t="s">
        <v>218</v>
      </c>
      <c r="I142" s="1662"/>
      <c r="J142" s="1662"/>
      <c r="K142" s="1665"/>
      <c r="L142" s="1401"/>
      <c r="M142" s="1401"/>
      <c r="N142" s="1401"/>
      <c r="O142" s="1401"/>
      <c r="P142" s="1405"/>
      <c r="Q142" s="1401"/>
      <c r="R142" s="411"/>
      <c r="S142" s="1401"/>
      <c r="T142" s="193"/>
      <c r="U142" s="403"/>
      <c r="V142" s="1432"/>
      <c r="W142" s="404"/>
      <c r="X142" s="1649"/>
      <c r="Y142" s="1649"/>
      <c r="Z142" s="1649"/>
      <c r="AA142" s="1653"/>
      <c r="AB142" s="1656"/>
      <c r="AC142" s="1653"/>
      <c r="AD142" s="1656"/>
      <c r="AE142" s="1659"/>
      <c r="AF142" s="1656"/>
      <c r="AG142" s="1653"/>
      <c r="AH142" s="1656"/>
      <c r="AI142" s="1653"/>
      <c r="AJ142" s="1649"/>
      <c r="AK142" s="1414"/>
      <c r="AL142" s="72"/>
      <c r="AM142" s="1541"/>
    </row>
    <row r="143" spans="2:39">
      <c r="B143" s="407"/>
      <c r="C143" s="343"/>
      <c r="D143" s="409" t="s">
        <v>491</v>
      </c>
      <c r="E143" s="193" t="s">
        <v>161</v>
      </c>
      <c r="F143" s="1670"/>
      <c r="G143" s="385">
        <v>170000000</v>
      </c>
      <c r="H143" s="205" t="s">
        <v>218</v>
      </c>
      <c r="I143" s="1662"/>
      <c r="J143" s="1662"/>
      <c r="K143" s="1665"/>
      <c r="L143" s="1401"/>
      <c r="M143" s="1401"/>
      <c r="N143" s="1401"/>
      <c r="O143" s="1401"/>
      <c r="P143" s="1405"/>
      <c r="Q143" s="1401"/>
      <c r="R143" s="411"/>
      <c r="S143" s="1401"/>
      <c r="T143" s="193"/>
      <c r="U143" s="403"/>
      <c r="V143" s="1432"/>
      <c r="W143" s="404"/>
      <c r="X143" s="1649"/>
      <c r="Y143" s="1649"/>
      <c r="Z143" s="1649"/>
      <c r="AA143" s="1653"/>
      <c r="AB143" s="1656"/>
      <c r="AC143" s="1653"/>
      <c r="AD143" s="1656"/>
      <c r="AE143" s="1659"/>
      <c r="AF143" s="1656"/>
      <c r="AG143" s="1653"/>
      <c r="AH143" s="1656"/>
      <c r="AI143" s="1653"/>
      <c r="AJ143" s="1649"/>
      <c r="AK143" s="1442">
        <v>0</v>
      </c>
      <c r="AL143" s="72"/>
      <c r="AM143" s="1541"/>
    </row>
    <row r="144" spans="2:39">
      <c r="B144" s="407"/>
      <c r="C144" s="343"/>
      <c r="D144" s="409" t="s">
        <v>768</v>
      </c>
      <c r="E144" s="193" t="s">
        <v>14</v>
      </c>
      <c r="F144" s="1670"/>
      <c r="G144" s="385">
        <v>170000000</v>
      </c>
      <c r="H144" s="205" t="s">
        <v>218</v>
      </c>
      <c r="I144" s="1662"/>
      <c r="J144" s="1662"/>
      <c r="K144" s="1665"/>
      <c r="L144" s="1401"/>
      <c r="M144" s="1401"/>
      <c r="N144" s="1401"/>
      <c r="O144" s="1401"/>
      <c r="P144" s="1405"/>
      <c r="Q144" s="1401"/>
      <c r="R144" s="411"/>
      <c r="S144" s="1401"/>
      <c r="T144" s="193"/>
      <c r="U144" s="403"/>
      <c r="V144" s="1432"/>
      <c r="W144" s="404"/>
      <c r="X144" s="1649"/>
      <c r="Y144" s="1649"/>
      <c r="Z144" s="1649"/>
      <c r="AA144" s="1653"/>
      <c r="AB144" s="1656"/>
      <c r="AC144" s="1653"/>
      <c r="AD144" s="1656"/>
      <c r="AE144" s="1659"/>
      <c r="AF144" s="1656"/>
      <c r="AG144" s="1653"/>
      <c r="AH144" s="1656"/>
      <c r="AI144" s="1653"/>
      <c r="AJ144" s="1649"/>
      <c r="AK144" s="1414"/>
      <c r="AL144" s="72"/>
      <c r="AM144" s="1541"/>
    </row>
    <row r="145" spans="2:39">
      <c r="B145" s="407"/>
      <c r="C145" s="343"/>
      <c r="D145" s="409" t="s">
        <v>689</v>
      </c>
      <c r="E145" s="193" t="s">
        <v>14</v>
      </c>
      <c r="F145" s="1671"/>
      <c r="G145" s="385">
        <v>170000000</v>
      </c>
      <c r="H145" s="205" t="s">
        <v>218</v>
      </c>
      <c r="I145" s="1663"/>
      <c r="J145" s="1663"/>
      <c r="K145" s="1666"/>
      <c r="L145" s="1402"/>
      <c r="M145" s="1402"/>
      <c r="N145" s="1402"/>
      <c r="O145" s="1402"/>
      <c r="P145" s="1406"/>
      <c r="Q145" s="1402"/>
      <c r="R145" s="412"/>
      <c r="S145" s="1402"/>
      <c r="T145" s="193"/>
      <c r="U145" s="403"/>
      <c r="V145" s="1432"/>
      <c r="W145" s="404"/>
      <c r="X145" s="1650"/>
      <c r="Y145" s="1650"/>
      <c r="Z145" s="1650"/>
      <c r="AA145" s="1654"/>
      <c r="AB145" s="1657"/>
      <c r="AC145" s="1654"/>
      <c r="AD145" s="1657"/>
      <c r="AE145" s="1660"/>
      <c r="AF145" s="1657"/>
      <c r="AG145" s="1654"/>
      <c r="AH145" s="1657"/>
      <c r="AI145" s="1654"/>
      <c r="AJ145" s="1650"/>
      <c r="AK145" s="1414"/>
      <c r="AL145" s="72"/>
      <c r="AM145" s="1541"/>
    </row>
    <row r="146" spans="2:39" ht="101.25">
      <c r="B146" s="407"/>
      <c r="C146" s="343"/>
      <c r="D146" s="409" t="s">
        <v>790</v>
      </c>
      <c r="E146" s="193" t="s">
        <v>14</v>
      </c>
      <c r="F146" s="381" t="s">
        <v>791</v>
      </c>
      <c r="G146" s="385">
        <v>1925000000</v>
      </c>
      <c r="H146" s="205" t="s">
        <v>218</v>
      </c>
      <c r="I146" s="193" t="s">
        <v>782</v>
      </c>
      <c r="J146" s="193" t="s">
        <v>783</v>
      </c>
      <c r="K146" s="205" t="s">
        <v>37</v>
      </c>
      <c r="L146" s="205"/>
      <c r="M146" s="205"/>
      <c r="N146" s="205"/>
      <c r="O146" s="205"/>
      <c r="P146" s="1077"/>
      <c r="Q146" s="205"/>
      <c r="R146" s="346"/>
      <c r="S146" s="205"/>
      <c r="T146" s="193"/>
      <c r="U146" s="403"/>
      <c r="V146" s="1432"/>
      <c r="W146" s="404"/>
      <c r="X146" s="405"/>
      <c r="Y146" s="405"/>
      <c r="Z146" s="221" t="s">
        <v>89</v>
      </c>
      <c r="AA146" s="414">
        <f>+$G$147*0.2</f>
        <v>109246164.60000001</v>
      </c>
      <c r="AB146" s="1432" t="s">
        <v>91</v>
      </c>
      <c r="AC146" s="414">
        <f>+$G$147*0.2</f>
        <v>109246164.60000001</v>
      </c>
      <c r="AD146" s="1455" t="s">
        <v>70</v>
      </c>
      <c r="AE146" s="414">
        <f>+$G$147*0.2</f>
        <v>109246164.60000001</v>
      </c>
      <c r="AF146" s="1455" t="s">
        <v>90</v>
      </c>
      <c r="AG146" s="414">
        <f>+$G$147*0.2</f>
        <v>109246164.60000001</v>
      </c>
      <c r="AH146" s="1455" t="s">
        <v>79</v>
      </c>
      <c r="AI146" s="414">
        <f>+$G$147*0.2</f>
        <v>109246164.60000001</v>
      </c>
      <c r="AJ146" s="393">
        <f>+AI146+AG146+AE146+AC146+AA146</f>
        <v>546230823</v>
      </c>
      <c r="AK146" s="1442">
        <v>0</v>
      </c>
      <c r="AL146" s="72"/>
      <c r="AM146" s="1541">
        <v>0</v>
      </c>
    </row>
    <row r="147" spans="2:39" ht="45">
      <c r="B147" s="407"/>
      <c r="C147" s="343"/>
      <c r="D147" s="409" t="s">
        <v>519</v>
      </c>
      <c r="E147" s="193" t="s">
        <v>14</v>
      </c>
      <c r="F147" s="381" t="s">
        <v>792</v>
      </c>
      <c r="G147" s="385">
        <v>546230823</v>
      </c>
      <c r="H147" s="205" t="s">
        <v>218</v>
      </c>
      <c r="I147" s="193" t="s">
        <v>793</v>
      </c>
      <c r="J147" s="193" t="s">
        <v>794</v>
      </c>
      <c r="K147" s="205"/>
      <c r="L147" s="205"/>
      <c r="M147" s="205"/>
      <c r="N147" s="205"/>
      <c r="O147" s="205"/>
      <c r="P147" s="1077"/>
      <c r="Q147" s="205"/>
      <c r="R147" s="346"/>
      <c r="S147" s="205"/>
      <c r="T147" s="193"/>
      <c r="U147" s="403"/>
      <c r="V147" s="1432"/>
      <c r="W147" s="404"/>
      <c r="X147" s="405"/>
      <c r="Y147" s="405"/>
      <c r="Z147" s="221" t="s">
        <v>89</v>
      </c>
      <c r="AA147" s="414">
        <f>+$G$150*0.2</f>
        <v>49000000</v>
      </c>
      <c r="AB147" s="1432" t="s">
        <v>91</v>
      </c>
      <c r="AC147" s="414">
        <f>+$G$150*0.2</f>
        <v>49000000</v>
      </c>
      <c r="AD147" s="1455" t="s">
        <v>70</v>
      </c>
      <c r="AE147" s="414">
        <f>+$G$150*0.2</f>
        <v>49000000</v>
      </c>
      <c r="AF147" s="1455" t="s">
        <v>90</v>
      </c>
      <c r="AG147" s="414">
        <f>+$G$150*0.2</f>
        <v>49000000</v>
      </c>
      <c r="AH147" s="1455" t="s">
        <v>79</v>
      </c>
      <c r="AI147" s="414">
        <f>+$G$150*0.2</f>
        <v>49000000</v>
      </c>
      <c r="AJ147" s="393">
        <f>+AI147+AG147+AE147+AC147+AA147</f>
        <v>245000000</v>
      </c>
      <c r="AK147" s="1442">
        <v>0</v>
      </c>
      <c r="AL147" s="72"/>
      <c r="AM147" s="1541"/>
    </row>
    <row r="148" spans="2:39">
      <c r="B148" s="407"/>
      <c r="C148" s="343"/>
      <c r="D148" s="415"/>
      <c r="E148" s="193"/>
      <c r="F148" s="416"/>
      <c r="G148" s="385"/>
      <c r="H148" s="205"/>
      <c r="I148" s="193"/>
      <c r="J148" s="193"/>
      <c r="K148" s="205"/>
      <c r="L148" s="205"/>
      <c r="M148" s="205"/>
      <c r="N148" s="205"/>
      <c r="O148" s="205"/>
      <c r="P148" s="1077"/>
      <c r="Q148" s="205"/>
      <c r="R148" s="346"/>
      <c r="S148" s="205"/>
      <c r="T148" s="193"/>
      <c r="U148" s="403"/>
      <c r="V148" s="1432"/>
      <c r="W148" s="404"/>
      <c r="X148" s="405"/>
      <c r="Y148" s="405"/>
      <c r="Z148" s="221"/>
      <c r="AA148" s="417"/>
      <c r="AB148" s="1432"/>
      <c r="AC148" s="405"/>
      <c r="AD148" s="1455"/>
      <c r="AE148" s="673"/>
      <c r="AF148" s="1455"/>
      <c r="AG148" s="405"/>
      <c r="AH148" s="1455"/>
      <c r="AI148" s="405"/>
      <c r="AJ148" s="221"/>
      <c r="AK148" s="1414"/>
      <c r="AL148" s="72"/>
      <c r="AM148" s="1541"/>
    </row>
    <row r="149" spans="2:39" ht="22.5">
      <c r="B149" s="418"/>
      <c r="C149" s="205"/>
      <c r="D149" s="419" t="s">
        <v>795</v>
      </c>
      <c r="E149" s="193" t="s">
        <v>14</v>
      </c>
      <c r="F149" s="1661" t="s">
        <v>731</v>
      </c>
      <c r="G149" s="385">
        <v>290000000</v>
      </c>
      <c r="H149" s="205">
        <f>SUM(G149:G154)</f>
        <v>2049500000</v>
      </c>
      <c r="I149" s="1661" t="s">
        <v>796</v>
      </c>
      <c r="J149" s="1661" t="s">
        <v>797</v>
      </c>
      <c r="K149" s="1664" t="s">
        <v>37</v>
      </c>
      <c r="L149" s="1400"/>
      <c r="M149" s="1400"/>
      <c r="N149" s="1400"/>
      <c r="O149" s="1400"/>
      <c r="P149" s="1404"/>
      <c r="Q149" s="1400"/>
      <c r="R149" s="410"/>
      <c r="S149" s="1400"/>
      <c r="T149" s="193"/>
      <c r="U149" s="403"/>
      <c r="V149" s="1432"/>
      <c r="W149" s="404"/>
      <c r="X149" s="1651"/>
      <c r="Y149" s="1651"/>
      <c r="Z149" s="1651" t="s">
        <v>89</v>
      </c>
      <c r="AA149" s="1648">
        <f>+$H$152*0.2</f>
        <v>0</v>
      </c>
      <c r="AB149" s="1655" t="s">
        <v>91</v>
      </c>
      <c r="AC149" s="1648">
        <f>+$H$152*0.2</f>
        <v>0</v>
      </c>
      <c r="AD149" s="1655" t="s">
        <v>70</v>
      </c>
      <c r="AE149" s="1680">
        <f>+$H$152*0.2</f>
        <v>0</v>
      </c>
      <c r="AF149" s="1655" t="s">
        <v>90</v>
      </c>
      <c r="AG149" s="1648">
        <f>+$H$152*0.2</f>
        <v>0</v>
      </c>
      <c r="AH149" s="1655" t="s">
        <v>79</v>
      </c>
      <c r="AI149" s="1648">
        <f>+$H$152*0.2</f>
        <v>0</v>
      </c>
      <c r="AJ149" s="1648">
        <f>+AI149+AG149+AE149+AC149+AA149</f>
        <v>0</v>
      </c>
      <c r="AK149" s="1414"/>
      <c r="AL149" s="72"/>
      <c r="AM149" s="1541"/>
    </row>
    <row r="150" spans="2:39">
      <c r="B150" s="418"/>
      <c r="C150" s="1400"/>
      <c r="D150" s="420" t="s">
        <v>798</v>
      </c>
      <c r="E150" s="193" t="s">
        <v>14</v>
      </c>
      <c r="F150" s="1662"/>
      <c r="G150" s="421">
        <v>245000000</v>
      </c>
      <c r="H150" s="205"/>
      <c r="I150" s="1662"/>
      <c r="J150" s="1662"/>
      <c r="K150" s="1665"/>
      <c r="L150" s="1401"/>
      <c r="M150" s="1401"/>
      <c r="N150" s="1401"/>
      <c r="O150" s="1401"/>
      <c r="P150" s="1405"/>
      <c r="Q150" s="1401"/>
      <c r="R150" s="411"/>
      <c r="S150" s="1401"/>
      <c r="T150" s="193"/>
      <c r="U150" s="403"/>
      <c r="V150" s="1432"/>
      <c r="W150" s="404"/>
      <c r="X150" s="1649"/>
      <c r="Y150" s="1649"/>
      <c r="Z150" s="1649"/>
      <c r="AA150" s="1649"/>
      <c r="AB150" s="1656"/>
      <c r="AC150" s="1649"/>
      <c r="AD150" s="1656"/>
      <c r="AE150" s="1681"/>
      <c r="AF150" s="1656"/>
      <c r="AG150" s="1649"/>
      <c r="AH150" s="1656"/>
      <c r="AI150" s="1649"/>
      <c r="AJ150" s="1649"/>
      <c r="AK150" s="1414"/>
      <c r="AL150" s="72"/>
      <c r="AM150" s="1541"/>
    </row>
    <row r="151" spans="2:39">
      <c r="B151" s="418"/>
      <c r="C151" s="1400"/>
      <c r="D151" s="420" t="s">
        <v>799</v>
      </c>
      <c r="E151" s="193" t="s">
        <v>14</v>
      </c>
      <c r="F151" s="1662"/>
      <c r="G151" s="421">
        <v>367000000</v>
      </c>
      <c r="H151" s="205"/>
      <c r="I151" s="1662"/>
      <c r="J151" s="1662"/>
      <c r="K151" s="1665"/>
      <c r="L151" s="1401"/>
      <c r="M151" s="1401"/>
      <c r="N151" s="1401"/>
      <c r="O151" s="1401"/>
      <c r="P151" s="1405"/>
      <c r="Q151" s="1401"/>
      <c r="R151" s="411"/>
      <c r="S151" s="1401"/>
      <c r="T151" s="193"/>
      <c r="U151" s="403"/>
      <c r="V151" s="1432"/>
      <c r="W151" s="404"/>
      <c r="X151" s="1649"/>
      <c r="Y151" s="1649"/>
      <c r="Z151" s="1649"/>
      <c r="AA151" s="1649"/>
      <c r="AB151" s="1656"/>
      <c r="AC151" s="1649"/>
      <c r="AD151" s="1656"/>
      <c r="AE151" s="1681"/>
      <c r="AF151" s="1656"/>
      <c r="AG151" s="1649"/>
      <c r="AH151" s="1656"/>
      <c r="AI151" s="1649"/>
      <c r="AJ151" s="1649"/>
      <c r="AK151" s="1414"/>
      <c r="AL151" s="72"/>
      <c r="AM151" s="1541"/>
    </row>
    <row r="152" spans="2:39">
      <c r="B152" s="418"/>
      <c r="C152" s="1400"/>
      <c r="D152" s="420" t="s">
        <v>800</v>
      </c>
      <c r="E152" s="193" t="s">
        <v>14</v>
      </c>
      <c r="F152" s="1662"/>
      <c r="G152" s="421">
        <v>310000000</v>
      </c>
      <c r="H152" s="205"/>
      <c r="I152" s="1662"/>
      <c r="J152" s="1662"/>
      <c r="K152" s="1665"/>
      <c r="L152" s="1401"/>
      <c r="M152" s="1401"/>
      <c r="N152" s="1401"/>
      <c r="O152" s="1401"/>
      <c r="P152" s="1405"/>
      <c r="Q152" s="1401"/>
      <c r="R152" s="411"/>
      <c r="S152" s="1401"/>
      <c r="T152" s="193"/>
      <c r="U152" s="403"/>
      <c r="V152" s="1432"/>
      <c r="W152" s="404"/>
      <c r="X152" s="1649"/>
      <c r="Y152" s="1649"/>
      <c r="Z152" s="1649"/>
      <c r="AA152" s="1649"/>
      <c r="AB152" s="1656"/>
      <c r="AC152" s="1649"/>
      <c r="AD152" s="1656"/>
      <c r="AE152" s="1681"/>
      <c r="AF152" s="1656"/>
      <c r="AG152" s="1649"/>
      <c r="AH152" s="1656"/>
      <c r="AI152" s="1649"/>
      <c r="AJ152" s="1649"/>
      <c r="AK152" s="1414"/>
      <c r="AL152" s="72"/>
      <c r="AM152" s="1541"/>
    </row>
    <row r="153" spans="2:39" ht="22.5">
      <c r="B153" s="418"/>
      <c r="C153" s="1400"/>
      <c r="D153" s="420" t="s">
        <v>801</v>
      </c>
      <c r="E153" s="193" t="s">
        <v>14</v>
      </c>
      <c r="F153" s="1662"/>
      <c r="G153" s="421">
        <v>345000000</v>
      </c>
      <c r="H153" s="205"/>
      <c r="I153" s="1662"/>
      <c r="J153" s="1662"/>
      <c r="K153" s="1665"/>
      <c r="L153" s="1401"/>
      <c r="M153" s="1401"/>
      <c r="N153" s="1401"/>
      <c r="O153" s="1401"/>
      <c r="P153" s="1405"/>
      <c r="Q153" s="1401"/>
      <c r="R153" s="411"/>
      <c r="S153" s="1401"/>
      <c r="T153" s="193"/>
      <c r="U153" s="403"/>
      <c r="V153" s="1432"/>
      <c r="W153" s="404"/>
      <c r="X153" s="1649"/>
      <c r="Y153" s="1649"/>
      <c r="Z153" s="1649"/>
      <c r="AA153" s="1649"/>
      <c r="AB153" s="1656"/>
      <c r="AC153" s="1649"/>
      <c r="AD153" s="1656"/>
      <c r="AE153" s="1681"/>
      <c r="AF153" s="1656"/>
      <c r="AG153" s="1649"/>
      <c r="AH153" s="1656"/>
      <c r="AI153" s="1649"/>
      <c r="AJ153" s="1649"/>
      <c r="AK153" s="1414"/>
      <c r="AL153" s="72"/>
      <c r="AM153" s="1541"/>
    </row>
    <row r="154" spans="2:39">
      <c r="B154" s="418"/>
      <c r="C154" s="1400"/>
      <c r="D154" s="420" t="s">
        <v>802</v>
      </c>
      <c r="E154" s="193" t="s">
        <v>14</v>
      </c>
      <c r="F154" s="1663"/>
      <c r="G154" s="421">
        <v>492500000</v>
      </c>
      <c r="H154" s="205"/>
      <c r="I154" s="1663"/>
      <c r="J154" s="1663"/>
      <c r="K154" s="1666"/>
      <c r="L154" s="1402"/>
      <c r="M154" s="1402"/>
      <c r="N154" s="1402"/>
      <c r="O154" s="1402"/>
      <c r="P154" s="1406"/>
      <c r="Q154" s="1402"/>
      <c r="R154" s="412"/>
      <c r="S154" s="1402"/>
      <c r="T154" s="193"/>
      <c r="U154" s="403"/>
      <c r="V154" s="1432"/>
      <c r="W154" s="404"/>
      <c r="X154" s="1650"/>
      <c r="Y154" s="1650"/>
      <c r="Z154" s="1650"/>
      <c r="AA154" s="1650"/>
      <c r="AB154" s="1657"/>
      <c r="AC154" s="1650"/>
      <c r="AD154" s="1657"/>
      <c r="AE154" s="1682"/>
      <c r="AF154" s="1657"/>
      <c r="AG154" s="1650"/>
      <c r="AH154" s="1657"/>
      <c r="AI154" s="1650"/>
      <c r="AJ154" s="1650"/>
      <c r="AK154" s="1414"/>
      <c r="AL154" s="72"/>
      <c r="AM154" s="1541"/>
    </row>
    <row r="155" spans="2:39" ht="78.75">
      <c r="B155" s="351" t="s">
        <v>803</v>
      </c>
      <c r="C155" s="352">
        <f>SUM(G156:G194)</f>
        <v>4533000000</v>
      </c>
      <c r="D155" s="420"/>
      <c r="E155" s="193"/>
      <c r="F155" s="422"/>
      <c r="G155" s="421"/>
      <c r="H155" s="205"/>
      <c r="I155" s="193"/>
      <c r="J155" s="193"/>
      <c r="K155" s="205"/>
      <c r="L155" s="205"/>
      <c r="M155" s="205"/>
      <c r="N155" s="205"/>
      <c r="O155" s="205"/>
      <c r="P155" s="1077"/>
      <c r="Q155" s="205"/>
      <c r="R155" s="346"/>
      <c r="S155" s="205"/>
      <c r="T155" s="193"/>
      <c r="U155" s="403"/>
      <c r="V155" s="1432"/>
      <c r="W155" s="404"/>
      <c r="X155" s="405"/>
      <c r="Y155" s="405"/>
      <c r="Z155" s="221"/>
      <c r="AA155" s="417"/>
      <c r="AB155" s="1432"/>
      <c r="AC155" s="405"/>
      <c r="AD155" s="1455"/>
      <c r="AE155" s="673"/>
      <c r="AF155" s="1455"/>
      <c r="AG155" s="405"/>
      <c r="AH155" s="1455"/>
      <c r="AI155" s="405"/>
      <c r="AJ155" s="221"/>
      <c r="AK155" s="1414"/>
      <c r="AL155" s="72"/>
      <c r="AM155" s="1541"/>
    </row>
    <row r="156" spans="2:39" ht="56.25">
      <c r="B156" s="407"/>
      <c r="C156" s="343"/>
      <c r="D156" s="409" t="s">
        <v>519</v>
      </c>
      <c r="E156" s="193" t="s">
        <v>14</v>
      </c>
      <c r="F156" s="1403" t="s">
        <v>804</v>
      </c>
      <c r="G156" s="385">
        <v>2900000000</v>
      </c>
      <c r="H156" s="205" t="s">
        <v>218</v>
      </c>
      <c r="I156" s="193" t="s">
        <v>805</v>
      </c>
      <c r="J156" s="193" t="s">
        <v>794</v>
      </c>
      <c r="K156" s="205" t="s">
        <v>37</v>
      </c>
      <c r="L156" s="205"/>
      <c r="M156" s="205"/>
      <c r="N156" s="205"/>
      <c r="O156" s="205"/>
      <c r="P156" s="1077"/>
      <c r="Q156" s="205"/>
      <c r="R156" s="346"/>
      <c r="S156" s="205"/>
      <c r="T156" s="193"/>
      <c r="U156" s="403"/>
      <c r="V156" s="1432"/>
      <c r="W156" s="404"/>
      <c r="X156" s="405"/>
      <c r="Y156" s="405"/>
      <c r="Z156" s="221" t="s">
        <v>89</v>
      </c>
      <c r="AA156" s="423">
        <f>+$G$159*0.2</f>
        <v>6000000</v>
      </c>
      <c r="AB156" s="1432" t="s">
        <v>91</v>
      </c>
      <c r="AC156" s="423">
        <f>+$G$159*0.2</f>
        <v>6000000</v>
      </c>
      <c r="AD156" s="1455" t="s">
        <v>70</v>
      </c>
      <c r="AE156" s="1457">
        <f>+$G$159*0.2</f>
        <v>6000000</v>
      </c>
      <c r="AF156" s="1455" t="s">
        <v>90</v>
      </c>
      <c r="AG156" s="423">
        <f>+$G$159*0.2</f>
        <v>6000000</v>
      </c>
      <c r="AH156" s="1455" t="s">
        <v>79</v>
      </c>
      <c r="AI156" s="423">
        <f>+$G$159*0.2</f>
        <v>6000000</v>
      </c>
      <c r="AJ156" s="1458">
        <f>+AA156+AC156+AE156+AG156+AI156</f>
        <v>30000000</v>
      </c>
      <c r="AK156" s="1442">
        <v>0</v>
      </c>
      <c r="AL156" s="72"/>
      <c r="AM156" s="1541"/>
    </row>
    <row r="157" spans="2:39">
      <c r="B157" s="407"/>
      <c r="C157" s="343"/>
      <c r="D157" s="409" t="s">
        <v>496</v>
      </c>
      <c r="E157" s="193" t="s">
        <v>14</v>
      </c>
      <c r="F157" s="1667" t="s">
        <v>806</v>
      </c>
      <c r="G157" s="385">
        <v>30000000</v>
      </c>
      <c r="H157" s="205">
        <f>SUM(G157:G166)</f>
        <v>300000000</v>
      </c>
      <c r="I157" s="1661" t="s">
        <v>807</v>
      </c>
      <c r="J157" s="1661" t="s">
        <v>808</v>
      </c>
      <c r="K157" s="1664" t="s">
        <v>37</v>
      </c>
      <c r="L157" s="1400"/>
      <c r="M157" s="1400"/>
      <c r="N157" s="1400"/>
      <c r="O157" s="1400"/>
      <c r="P157" s="1404"/>
      <c r="Q157" s="1400"/>
      <c r="R157" s="410"/>
      <c r="S157" s="1400"/>
      <c r="T157" s="193"/>
      <c r="U157" s="403"/>
      <c r="V157" s="1432"/>
      <c r="W157" s="404"/>
      <c r="X157" s="1651"/>
      <c r="Y157" s="1651"/>
      <c r="Z157" s="1651" t="s">
        <v>89</v>
      </c>
      <c r="AA157" s="1652" t="e">
        <f>+$H$158*0.2</f>
        <v>#VALUE!</v>
      </c>
      <c r="AB157" s="1655" t="s">
        <v>91</v>
      </c>
      <c r="AC157" s="1652" t="e">
        <f>+$H$158*0.2</f>
        <v>#VALUE!</v>
      </c>
      <c r="AD157" s="1655" t="s">
        <v>70</v>
      </c>
      <c r="AE157" s="1658" t="e">
        <f>+$H$158*0.2</f>
        <v>#VALUE!</v>
      </c>
      <c r="AF157" s="1655" t="s">
        <v>90</v>
      </c>
      <c r="AG157" s="1652" t="e">
        <f>+$H$158*0.2</f>
        <v>#VALUE!</v>
      </c>
      <c r="AH157" s="1655" t="s">
        <v>79</v>
      </c>
      <c r="AI157" s="1652" t="e">
        <f>+$H$158*0.2</f>
        <v>#VALUE!</v>
      </c>
      <c r="AJ157" s="1648" t="e">
        <f>AI157+AA157+AC157+AE157+AG157</f>
        <v>#VALUE!</v>
      </c>
      <c r="AK157" s="1414"/>
      <c r="AL157" s="72"/>
      <c r="AM157" s="1541"/>
    </row>
    <row r="158" spans="2:39">
      <c r="B158" s="407"/>
      <c r="C158" s="343"/>
      <c r="D158" s="409" t="s">
        <v>689</v>
      </c>
      <c r="E158" s="193" t="s">
        <v>14</v>
      </c>
      <c r="F158" s="1668"/>
      <c r="G158" s="385">
        <v>30000000</v>
      </c>
      <c r="H158" s="205" t="s">
        <v>218</v>
      </c>
      <c r="I158" s="1662"/>
      <c r="J158" s="1662"/>
      <c r="K158" s="1665"/>
      <c r="L158" s="1401"/>
      <c r="M158" s="1401"/>
      <c r="N158" s="1401"/>
      <c r="O158" s="1401"/>
      <c r="P158" s="1405"/>
      <c r="Q158" s="1401"/>
      <c r="R158" s="411"/>
      <c r="S158" s="1401"/>
      <c r="T158" s="193"/>
      <c r="U158" s="403"/>
      <c r="V158" s="1432"/>
      <c r="W158" s="404"/>
      <c r="X158" s="1649"/>
      <c r="Y158" s="1649"/>
      <c r="Z158" s="1649"/>
      <c r="AA158" s="1653"/>
      <c r="AB158" s="1656"/>
      <c r="AC158" s="1653"/>
      <c r="AD158" s="1656"/>
      <c r="AE158" s="1659"/>
      <c r="AF158" s="1656"/>
      <c r="AG158" s="1653"/>
      <c r="AH158" s="1656"/>
      <c r="AI158" s="1653"/>
      <c r="AJ158" s="1649"/>
      <c r="AK158" s="1414"/>
      <c r="AL158" s="72"/>
      <c r="AM158" s="1541"/>
    </row>
    <row r="159" spans="2:39">
      <c r="B159" s="407"/>
      <c r="C159" s="343"/>
      <c r="D159" s="409" t="s">
        <v>768</v>
      </c>
      <c r="E159" s="193" t="s">
        <v>14</v>
      </c>
      <c r="F159" s="1668"/>
      <c r="G159" s="385">
        <v>30000000</v>
      </c>
      <c r="H159" s="205" t="s">
        <v>218</v>
      </c>
      <c r="I159" s="1662"/>
      <c r="J159" s="1662"/>
      <c r="K159" s="1665"/>
      <c r="L159" s="1401"/>
      <c r="M159" s="1401"/>
      <c r="N159" s="1401"/>
      <c r="O159" s="1401"/>
      <c r="P159" s="1405"/>
      <c r="Q159" s="1401"/>
      <c r="R159" s="411"/>
      <c r="S159" s="1401"/>
      <c r="T159" s="193"/>
      <c r="U159" s="403"/>
      <c r="V159" s="1432"/>
      <c r="W159" s="404"/>
      <c r="X159" s="1649"/>
      <c r="Y159" s="1649"/>
      <c r="Z159" s="1649"/>
      <c r="AA159" s="1653"/>
      <c r="AB159" s="1656"/>
      <c r="AC159" s="1653"/>
      <c r="AD159" s="1656"/>
      <c r="AE159" s="1659"/>
      <c r="AF159" s="1656"/>
      <c r="AG159" s="1653"/>
      <c r="AH159" s="1656"/>
      <c r="AI159" s="1653"/>
      <c r="AJ159" s="1649"/>
      <c r="AK159" s="1414"/>
      <c r="AL159" s="72"/>
      <c r="AM159" s="1541"/>
    </row>
    <row r="160" spans="2:39">
      <c r="B160" s="407"/>
      <c r="C160" s="343"/>
      <c r="D160" s="409" t="s">
        <v>685</v>
      </c>
      <c r="E160" s="193" t="s">
        <v>14</v>
      </c>
      <c r="F160" s="1668"/>
      <c r="G160" s="385">
        <v>30000000</v>
      </c>
      <c r="H160" s="205" t="s">
        <v>218</v>
      </c>
      <c r="I160" s="1662"/>
      <c r="J160" s="1662"/>
      <c r="K160" s="1665"/>
      <c r="L160" s="1401"/>
      <c r="M160" s="1401"/>
      <c r="N160" s="1401"/>
      <c r="O160" s="1401"/>
      <c r="P160" s="1405"/>
      <c r="Q160" s="1401"/>
      <c r="R160" s="411"/>
      <c r="S160" s="1401"/>
      <c r="T160" s="193"/>
      <c r="U160" s="403"/>
      <c r="V160" s="1432"/>
      <c r="W160" s="404"/>
      <c r="X160" s="1649"/>
      <c r="Y160" s="1649"/>
      <c r="Z160" s="1649"/>
      <c r="AA160" s="1653"/>
      <c r="AB160" s="1656"/>
      <c r="AC160" s="1653"/>
      <c r="AD160" s="1656"/>
      <c r="AE160" s="1659"/>
      <c r="AF160" s="1656"/>
      <c r="AG160" s="1653"/>
      <c r="AH160" s="1656"/>
      <c r="AI160" s="1653"/>
      <c r="AJ160" s="1649"/>
      <c r="AK160" s="1414"/>
      <c r="AL160" s="72"/>
      <c r="AM160" s="1541"/>
    </row>
    <row r="161" spans="2:39">
      <c r="B161" s="407"/>
      <c r="C161" s="343"/>
      <c r="D161" s="409" t="s">
        <v>809</v>
      </c>
      <c r="E161" s="193" t="s">
        <v>14</v>
      </c>
      <c r="F161" s="1668"/>
      <c r="G161" s="385">
        <v>30000000</v>
      </c>
      <c r="H161" s="205"/>
      <c r="I161" s="1662"/>
      <c r="J161" s="1662"/>
      <c r="K161" s="1665"/>
      <c r="L161" s="1401"/>
      <c r="M161" s="1401"/>
      <c r="N161" s="1401"/>
      <c r="O161" s="1401"/>
      <c r="P161" s="1405"/>
      <c r="Q161" s="1401"/>
      <c r="R161" s="411"/>
      <c r="S161" s="1401"/>
      <c r="T161" s="193"/>
      <c r="U161" s="403"/>
      <c r="V161" s="1432"/>
      <c r="W161" s="404"/>
      <c r="X161" s="1649"/>
      <c r="Y161" s="1649"/>
      <c r="Z161" s="1649"/>
      <c r="AA161" s="1653"/>
      <c r="AB161" s="1656"/>
      <c r="AC161" s="1653"/>
      <c r="AD161" s="1656"/>
      <c r="AE161" s="1659"/>
      <c r="AF161" s="1656"/>
      <c r="AG161" s="1653"/>
      <c r="AH161" s="1656"/>
      <c r="AI161" s="1653"/>
      <c r="AJ161" s="1649"/>
      <c r="AK161" s="1414"/>
      <c r="AL161" s="72"/>
      <c r="AM161" s="1541"/>
    </row>
    <row r="162" spans="2:39" ht="22.5">
      <c r="B162" s="407"/>
      <c r="C162" s="343"/>
      <c r="D162" s="409" t="s">
        <v>786</v>
      </c>
      <c r="E162" s="193" t="s">
        <v>14</v>
      </c>
      <c r="F162" s="1668"/>
      <c r="G162" s="385">
        <v>30000000</v>
      </c>
      <c r="H162" s="205" t="s">
        <v>218</v>
      </c>
      <c r="I162" s="1662"/>
      <c r="J162" s="1662"/>
      <c r="K162" s="1665"/>
      <c r="L162" s="1401"/>
      <c r="M162" s="1401"/>
      <c r="N162" s="1401"/>
      <c r="O162" s="1401"/>
      <c r="P162" s="1405"/>
      <c r="Q162" s="1401"/>
      <c r="R162" s="411"/>
      <c r="S162" s="1401"/>
      <c r="T162" s="193"/>
      <c r="U162" s="403"/>
      <c r="V162" s="1432"/>
      <c r="W162" s="404"/>
      <c r="X162" s="1649"/>
      <c r="Y162" s="1649"/>
      <c r="Z162" s="1649"/>
      <c r="AA162" s="1653"/>
      <c r="AB162" s="1656"/>
      <c r="AC162" s="1653"/>
      <c r="AD162" s="1656"/>
      <c r="AE162" s="1659"/>
      <c r="AF162" s="1656"/>
      <c r="AG162" s="1653"/>
      <c r="AH162" s="1656"/>
      <c r="AI162" s="1653"/>
      <c r="AJ162" s="1649"/>
      <c r="AK162" s="1442">
        <v>0</v>
      </c>
      <c r="AL162" s="72"/>
      <c r="AM162" s="1541"/>
    </row>
    <row r="163" spans="2:39">
      <c r="B163" s="407"/>
      <c r="C163" s="343"/>
      <c r="D163" s="409" t="s">
        <v>113</v>
      </c>
      <c r="E163" s="193" t="s">
        <v>14</v>
      </c>
      <c r="F163" s="1668"/>
      <c r="G163" s="385">
        <v>30000000</v>
      </c>
      <c r="H163" s="205" t="s">
        <v>218</v>
      </c>
      <c r="I163" s="1662"/>
      <c r="J163" s="1662"/>
      <c r="K163" s="1665"/>
      <c r="L163" s="1401"/>
      <c r="M163" s="1401"/>
      <c r="N163" s="1401"/>
      <c r="O163" s="1401"/>
      <c r="P163" s="1405"/>
      <c r="Q163" s="1401"/>
      <c r="R163" s="411"/>
      <c r="S163" s="1401"/>
      <c r="T163" s="193"/>
      <c r="U163" s="403"/>
      <c r="V163" s="1432"/>
      <c r="W163" s="404"/>
      <c r="X163" s="1649"/>
      <c r="Y163" s="1649"/>
      <c r="Z163" s="1649"/>
      <c r="AA163" s="1653"/>
      <c r="AB163" s="1656"/>
      <c r="AC163" s="1653"/>
      <c r="AD163" s="1656"/>
      <c r="AE163" s="1659"/>
      <c r="AF163" s="1656"/>
      <c r="AG163" s="1653"/>
      <c r="AH163" s="1656"/>
      <c r="AI163" s="1653"/>
      <c r="AJ163" s="1649"/>
      <c r="AK163" s="1414"/>
      <c r="AL163" s="72"/>
      <c r="AM163" s="1541"/>
    </row>
    <row r="164" spans="2:39">
      <c r="B164" s="407"/>
      <c r="C164" s="343"/>
      <c r="D164" s="409" t="s">
        <v>114</v>
      </c>
      <c r="E164" s="193" t="s">
        <v>14</v>
      </c>
      <c r="F164" s="1668"/>
      <c r="G164" s="385">
        <v>30000000</v>
      </c>
      <c r="H164" s="205" t="s">
        <v>218</v>
      </c>
      <c r="I164" s="1662"/>
      <c r="J164" s="1662"/>
      <c r="K164" s="1665"/>
      <c r="L164" s="1401"/>
      <c r="M164" s="1401"/>
      <c r="N164" s="1401"/>
      <c r="O164" s="1401"/>
      <c r="P164" s="1405"/>
      <c r="Q164" s="1401"/>
      <c r="R164" s="411"/>
      <c r="S164" s="1401"/>
      <c r="T164" s="193"/>
      <c r="U164" s="403"/>
      <c r="V164" s="1432"/>
      <c r="W164" s="404"/>
      <c r="X164" s="1649"/>
      <c r="Y164" s="1649"/>
      <c r="Z164" s="1649"/>
      <c r="AA164" s="1653"/>
      <c r="AB164" s="1656"/>
      <c r="AC164" s="1653"/>
      <c r="AD164" s="1656"/>
      <c r="AE164" s="1659"/>
      <c r="AF164" s="1656"/>
      <c r="AG164" s="1653"/>
      <c r="AH164" s="1656"/>
      <c r="AI164" s="1653"/>
      <c r="AJ164" s="1649"/>
      <c r="AK164" s="1414"/>
      <c r="AL164" s="72"/>
      <c r="AM164" s="1541"/>
    </row>
    <row r="165" spans="2:39">
      <c r="B165" s="407"/>
      <c r="C165" s="343"/>
      <c r="D165" s="409" t="s">
        <v>424</v>
      </c>
      <c r="E165" s="193" t="s">
        <v>14</v>
      </c>
      <c r="F165" s="1668"/>
      <c r="G165" s="385">
        <v>30000000</v>
      </c>
      <c r="H165" s="205" t="s">
        <v>218</v>
      </c>
      <c r="I165" s="1662"/>
      <c r="J165" s="1662"/>
      <c r="K165" s="1665"/>
      <c r="L165" s="1401"/>
      <c r="M165" s="1401"/>
      <c r="N165" s="1401"/>
      <c r="O165" s="1401"/>
      <c r="P165" s="1405"/>
      <c r="Q165" s="1401"/>
      <c r="R165" s="411"/>
      <c r="S165" s="1401"/>
      <c r="T165" s="193"/>
      <c r="U165" s="403"/>
      <c r="V165" s="1432"/>
      <c r="W165" s="404"/>
      <c r="X165" s="1649"/>
      <c r="Y165" s="1649"/>
      <c r="Z165" s="1649"/>
      <c r="AA165" s="1653"/>
      <c r="AB165" s="1656"/>
      <c r="AC165" s="1653"/>
      <c r="AD165" s="1656"/>
      <c r="AE165" s="1659"/>
      <c r="AF165" s="1656"/>
      <c r="AG165" s="1653"/>
      <c r="AH165" s="1656"/>
      <c r="AI165" s="1653"/>
      <c r="AJ165" s="1649"/>
      <c r="AK165" s="1414"/>
      <c r="AL165" s="72"/>
      <c r="AM165" s="1541"/>
    </row>
    <row r="166" spans="2:39">
      <c r="B166" s="407"/>
      <c r="C166" s="343"/>
      <c r="D166" s="409" t="s">
        <v>491</v>
      </c>
      <c r="E166" s="193" t="s">
        <v>14</v>
      </c>
      <c r="F166" s="1668"/>
      <c r="G166" s="385">
        <v>30000000</v>
      </c>
      <c r="H166" s="205" t="s">
        <v>218</v>
      </c>
      <c r="I166" s="1663"/>
      <c r="J166" s="1663"/>
      <c r="K166" s="1666"/>
      <c r="L166" s="1402"/>
      <c r="M166" s="1402"/>
      <c r="N166" s="1402"/>
      <c r="O166" s="1402"/>
      <c r="P166" s="1406"/>
      <c r="Q166" s="1402"/>
      <c r="R166" s="412"/>
      <c r="S166" s="1402"/>
      <c r="T166" s="193"/>
      <c r="U166" s="403"/>
      <c r="V166" s="1432"/>
      <c r="W166" s="404"/>
      <c r="X166" s="1650"/>
      <c r="Y166" s="1650"/>
      <c r="Z166" s="1650"/>
      <c r="AA166" s="1654"/>
      <c r="AB166" s="1657"/>
      <c r="AC166" s="1654"/>
      <c r="AD166" s="1657"/>
      <c r="AE166" s="1660"/>
      <c r="AF166" s="1657"/>
      <c r="AG166" s="1654"/>
      <c r="AH166" s="1657"/>
      <c r="AI166" s="1654"/>
      <c r="AJ166" s="1650"/>
      <c r="AK166" s="1414"/>
      <c r="AL166" s="72"/>
      <c r="AM166" s="1541"/>
    </row>
    <row r="167" spans="2:39" ht="56.25">
      <c r="B167" s="407"/>
      <c r="C167" s="343"/>
      <c r="D167" s="409" t="s">
        <v>790</v>
      </c>
      <c r="E167" s="193" t="s">
        <v>14</v>
      </c>
      <c r="F167" s="1403" t="s">
        <v>810</v>
      </c>
      <c r="G167" s="385">
        <v>441000000</v>
      </c>
      <c r="H167" s="205" t="s">
        <v>218</v>
      </c>
      <c r="I167" s="193" t="s">
        <v>807</v>
      </c>
      <c r="J167" s="193" t="s">
        <v>808</v>
      </c>
      <c r="K167" s="205" t="s">
        <v>37</v>
      </c>
      <c r="L167" s="205"/>
      <c r="M167" s="205"/>
      <c r="N167" s="205"/>
      <c r="O167" s="205"/>
      <c r="P167" s="1077"/>
      <c r="Q167" s="205"/>
      <c r="R167" s="346"/>
      <c r="S167" s="205"/>
      <c r="T167" s="193"/>
      <c r="U167" s="403"/>
      <c r="V167" s="1432"/>
      <c r="W167" s="404"/>
      <c r="X167" s="405"/>
      <c r="Y167" s="405"/>
      <c r="Z167" s="221" t="s">
        <v>89</v>
      </c>
      <c r="AA167" s="423">
        <f>+$G$170*0.2</f>
        <v>6000000</v>
      </c>
      <c r="AB167" s="1432" t="s">
        <v>91</v>
      </c>
      <c r="AC167" s="423">
        <f>+$G$170*0.2</f>
        <v>6000000</v>
      </c>
      <c r="AD167" s="1455" t="s">
        <v>70</v>
      </c>
      <c r="AE167" s="1457">
        <f>+$G$170*0.2</f>
        <v>6000000</v>
      </c>
      <c r="AF167" s="1455" t="s">
        <v>90</v>
      </c>
      <c r="AG167" s="423">
        <f>+$G$170*0.2</f>
        <v>6000000</v>
      </c>
      <c r="AH167" s="1455" t="s">
        <v>79</v>
      </c>
      <c r="AI167" s="423">
        <f>+$G$170*0.2</f>
        <v>6000000</v>
      </c>
      <c r="AJ167" s="1458">
        <f>+AA167+AC167+AE167+AI167</f>
        <v>24000000</v>
      </c>
      <c r="AK167" s="1442">
        <v>0</v>
      </c>
      <c r="AL167" s="72"/>
      <c r="AM167" s="1541"/>
    </row>
    <row r="168" spans="2:39">
      <c r="B168" s="407"/>
      <c r="C168" s="343"/>
      <c r="D168" s="409" t="s">
        <v>685</v>
      </c>
      <c r="E168" s="193" t="s">
        <v>14</v>
      </c>
      <c r="F168" s="1693" t="s">
        <v>811</v>
      </c>
      <c r="G168" s="424">
        <v>30000000</v>
      </c>
      <c r="H168" s="205">
        <f>SUM(G168:G187)</f>
        <v>600000000</v>
      </c>
      <c r="I168" s="1661" t="s">
        <v>812</v>
      </c>
      <c r="J168" s="1661" t="s">
        <v>794</v>
      </c>
      <c r="K168" s="1664" t="s">
        <v>37</v>
      </c>
      <c r="L168" s="1400"/>
      <c r="M168" s="1400"/>
      <c r="N168" s="1400"/>
      <c r="O168" s="1400"/>
      <c r="P168" s="1404"/>
      <c r="Q168" s="1400"/>
      <c r="R168" s="410"/>
      <c r="S168" s="1400"/>
      <c r="T168" s="193"/>
      <c r="U168" s="403"/>
      <c r="V168" s="1432"/>
      <c r="W168" s="404"/>
      <c r="X168" s="1651"/>
      <c r="Y168" s="1651"/>
      <c r="Z168" s="1651" t="s">
        <v>89</v>
      </c>
      <c r="AA168" s="1652" t="e">
        <f>+$H$169*0.2</f>
        <v>#VALUE!</v>
      </c>
      <c r="AB168" s="1655" t="s">
        <v>91</v>
      </c>
      <c r="AC168" s="1652" t="e">
        <f>+$H$169*0.2</f>
        <v>#VALUE!</v>
      </c>
      <c r="AD168" s="1655" t="s">
        <v>70</v>
      </c>
      <c r="AE168" s="1658" t="e">
        <f>+$H$169*0.2</f>
        <v>#VALUE!</v>
      </c>
      <c r="AF168" s="1655" t="s">
        <v>90</v>
      </c>
      <c r="AG168" s="1652" t="e">
        <f>+$H$169*0.2</f>
        <v>#VALUE!</v>
      </c>
      <c r="AH168" s="1655" t="s">
        <v>79</v>
      </c>
      <c r="AI168" s="1652" t="e">
        <f>+$H$169*0.2</f>
        <v>#VALUE!</v>
      </c>
      <c r="AJ168" s="1648" t="e">
        <f>+AA168+AC168+AE168+AG168+AI168</f>
        <v>#VALUE!</v>
      </c>
      <c r="AK168" s="1414"/>
      <c r="AL168" s="72"/>
      <c r="AM168" s="1541"/>
    </row>
    <row r="169" spans="2:39">
      <c r="B169" s="407"/>
      <c r="C169" s="343"/>
      <c r="D169" s="409" t="s">
        <v>519</v>
      </c>
      <c r="E169" s="193" t="s">
        <v>14</v>
      </c>
      <c r="F169" s="1693"/>
      <c r="G169" s="424">
        <v>30000000</v>
      </c>
      <c r="H169" s="205" t="s">
        <v>218</v>
      </c>
      <c r="I169" s="1662"/>
      <c r="J169" s="1662"/>
      <c r="K169" s="1665"/>
      <c r="L169" s="1401"/>
      <c r="M169" s="1401"/>
      <c r="N169" s="1401"/>
      <c r="O169" s="1401"/>
      <c r="P169" s="1405"/>
      <c r="Q169" s="1401"/>
      <c r="R169" s="411"/>
      <c r="S169" s="1401"/>
      <c r="T169" s="193"/>
      <c r="U169" s="403"/>
      <c r="V169" s="1432"/>
      <c r="W169" s="404"/>
      <c r="X169" s="1649"/>
      <c r="Y169" s="1649"/>
      <c r="Z169" s="1649"/>
      <c r="AA169" s="1653"/>
      <c r="AB169" s="1656"/>
      <c r="AC169" s="1653"/>
      <c r="AD169" s="1656"/>
      <c r="AE169" s="1659"/>
      <c r="AF169" s="1656"/>
      <c r="AG169" s="1653"/>
      <c r="AH169" s="1656"/>
      <c r="AI169" s="1653"/>
      <c r="AJ169" s="1649"/>
      <c r="AK169" s="1414"/>
      <c r="AL169" s="72"/>
      <c r="AM169" s="1541"/>
    </row>
    <row r="170" spans="2:39">
      <c r="B170" s="407"/>
      <c r="C170" s="343"/>
      <c r="D170" s="409" t="s">
        <v>114</v>
      </c>
      <c r="E170" s="193" t="s">
        <v>14</v>
      </c>
      <c r="F170" s="1693"/>
      <c r="G170" s="424">
        <v>30000000</v>
      </c>
      <c r="H170" s="205" t="s">
        <v>218</v>
      </c>
      <c r="I170" s="1662"/>
      <c r="J170" s="1662"/>
      <c r="K170" s="1665"/>
      <c r="L170" s="1401"/>
      <c r="M170" s="1401"/>
      <c r="N170" s="1401"/>
      <c r="O170" s="1401"/>
      <c r="P170" s="1405"/>
      <c r="Q170" s="1401"/>
      <c r="R170" s="411"/>
      <c r="S170" s="1401"/>
      <c r="T170" s="193"/>
      <c r="U170" s="403"/>
      <c r="V170" s="1432"/>
      <c r="W170" s="404"/>
      <c r="X170" s="1649"/>
      <c r="Y170" s="1649"/>
      <c r="Z170" s="1649"/>
      <c r="AA170" s="1653"/>
      <c r="AB170" s="1656"/>
      <c r="AC170" s="1653"/>
      <c r="AD170" s="1656"/>
      <c r="AE170" s="1659"/>
      <c r="AF170" s="1656"/>
      <c r="AG170" s="1653"/>
      <c r="AH170" s="1656"/>
      <c r="AI170" s="1653"/>
      <c r="AJ170" s="1649"/>
      <c r="AK170" s="1414"/>
      <c r="AL170" s="72"/>
      <c r="AM170" s="1541"/>
    </row>
    <row r="171" spans="2:39">
      <c r="B171" s="407"/>
      <c r="C171" s="343"/>
      <c r="D171" s="409" t="s">
        <v>491</v>
      </c>
      <c r="E171" s="193" t="s">
        <v>14</v>
      </c>
      <c r="F171" s="1693"/>
      <c r="G171" s="424">
        <v>30000000</v>
      </c>
      <c r="H171" s="205" t="s">
        <v>218</v>
      </c>
      <c r="I171" s="1662"/>
      <c r="J171" s="1662"/>
      <c r="K171" s="1665"/>
      <c r="L171" s="1401"/>
      <c r="M171" s="1401"/>
      <c r="N171" s="1401"/>
      <c r="O171" s="1401"/>
      <c r="P171" s="1405"/>
      <c r="Q171" s="1401"/>
      <c r="R171" s="411"/>
      <c r="S171" s="1401"/>
      <c r="T171" s="193"/>
      <c r="U171" s="403"/>
      <c r="V171" s="1432"/>
      <c r="W171" s="404"/>
      <c r="X171" s="1649"/>
      <c r="Y171" s="1649"/>
      <c r="Z171" s="1649"/>
      <c r="AA171" s="1653"/>
      <c r="AB171" s="1656"/>
      <c r="AC171" s="1653"/>
      <c r="AD171" s="1656"/>
      <c r="AE171" s="1659"/>
      <c r="AF171" s="1656"/>
      <c r="AG171" s="1653"/>
      <c r="AH171" s="1656"/>
      <c r="AI171" s="1653"/>
      <c r="AJ171" s="1649"/>
      <c r="AK171" s="1414"/>
      <c r="AL171" s="72"/>
      <c r="AM171" s="1541"/>
    </row>
    <row r="172" spans="2:39">
      <c r="B172" s="407"/>
      <c r="C172" s="343"/>
      <c r="D172" s="409" t="s">
        <v>809</v>
      </c>
      <c r="E172" s="193" t="s">
        <v>14</v>
      </c>
      <c r="F172" s="1693"/>
      <c r="G172" s="424">
        <v>30000000</v>
      </c>
      <c r="H172" s="205"/>
      <c r="I172" s="1662"/>
      <c r="J172" s="1662"/>
      <c r="K172" s="1665"/>
      <c r="L172" s="1401"/>
      <c r="M172" s="1401"/>
      <c r="N172" s="1401"/>
      <c r="O172" s="1401"/>
      <c r="P172" s="1405"/>
      <c r="Q172" s="1401"/>
      <c r="R172" s="411"/>
      <c r="S172" s="1401"/>
      <c r="T172" s="193"/>
      <c r="U172" s="403"/>
      <c r="V172" s="1432"/>
      <c r="W172" s="404"/>
      <c r="X172" s="1649"/>
      <c r="Y172" s="1649"/>
      <c r="Z172" s="1649"/>
      <c r="AA172" s="1653"/>
      <c r="AB172" s="1656"/>
      <c r="AC172" s="1653"/>
      <c r="AD172" s="1656"/>
      <c r="AE172" s="1659"/>
      <c r="AF172" s="1656"/>
      <c r="AG172" s="1653"/>
      <c r="AH172" s="1656"/>
      <c r="AI172" s="1653"/>
      <c r="AJ172" s="1649"/>
      <c r="AK172" s="1414"/>
      <c r="AL172" s="72"/>
      <c r="AM172" s="1541"/>
    </row>
    <row r="173" spans="2:39" ht="22.5">
      <c r="B173" s="407"/>
      <c r="C173" s="343"/>
      <c r="D173" s="409" t="s">
        <v>786</v>
      </c>
      <c r="E173" s="193" t="s">
        <v>14</v>
      </c>
      <c r="F173" s="1693"/>
      <c r="G173" s="424">
        <v>30000000</v>
      </c>
      <c r="H173" s="205" t="s">
        <v>218</v>
      </c>
      <c r="I173" s="1662"/>
      <c r="J173" s="1662"/>
      <c r="K173" s="1665"/>
      <c r="L173" s="1401"/>
      <c r="M173" s="1401"/>
      <c r="N173" s="1401"/>
      <c r="O173" s="1401"/>
      <c r="P173" s="1405"/>
      <c r="Q173" s="1401"/>
      <c r="R173" s="411"/>
      <c r="S173" s="1401"/>
      <c r="T173" s="193"/>
      <c r="U173" s="403"/>
      <c r="V173" s="1432"/>
      <c r="W173" s="404"/>
      <c r="X173" s="1649"/>
      <c r="Y173" s="1649"/>
      <c r="Z173" s="1649"/>
      <c r="AA173" s="1653"/>
      <c r="AB173" s="1656"/>
      <c r="AC173" s="1653"/>
      <c r="AD173" s="1656"/>
      <c r="AE173" s="1659"/>
      <c r="AF173" s="1656"/>
      <c r="AG173" s="1653"/>
      <c r="AH173" s="1656"/>
      <c r="AI173" s="1653"/>
      <c r="AJ173" s="1649"/>
      <c r="AK173" s="1414"/>
      <c r="AL173" s="72"/>
      <c r="AM173" s="1541"/>
    </row>
    <row r="174" spans="2:39">
      <c r="B174" s="407"/>
      <c r="C174" s="343"/>
      <c r="D174" s="409" t="s">
        <v>389</v>
      </c>
      <c r="E174" s="193" t="s">
        <v>14</v>
      </c>
      <c r="F174" s="1693"/>
      <c r="G174" s="424">
        <v>30000000</v>
      </c>
      <c r="H174" s="205"/>
      <c r="I174" s="1662"/>
      <c r="J174" s="1662"/>
      <c r="K174" s="1665"/>
      <c r="L174" s="1401"/>
      <c r="M174" s="1401"/>
      <c r="N174" s="1401"/>
      <c r="O174" s="1401"/>
      <c r="P174" s="1405"/>
      <c r="Q174" s="1401"/>
      <c r="R174" s="411"/>
      <c r="S174" s="1401"/>
      <c r="T174" s="193"/>
      <c r="U174" s="403"/>
      <c r="V174" s="1432"/>
      <c r="W174" s="404"/>
      <c r="X174" s="1649"/>
      <c r="Y174" s="1649"/>
      <c r="Z174" s="1649"/>
      <c r="AA174" s="1653"/>
      <c r="AB174" s="1656"/>
      <c r="AC174" s="1653"/>
      <c r="AD174" s="1656"/>
      <c r="AE174" s="1659"/>
      <c r="AF174" s="1656"/>
      <c r="AG174" s="1653"/>
      <c r="AH174" s="1656"/>
      <c r="AI174" s="1653"/>
      <c r="AJ174" s="1649"/>
      <c r="AK174" s="1414"/>
      <c r="AL174" s="72"/>
      <c r="AM174" s="1541"/>
    </row>
    <row r="175" spans="2:39">
      <c r="B175" s="407"/>
      <c r="C175" s="343"/>
      <c r="D175" s="409" t="s">
        <v>108</v>
      </c>
      <c r="E175" s="193" t="s">
        <v>14</v>
      </c>
      <c r="F175" s="1693"/>
      <c r="G175" s="424">
        <v>30000000</v>
      </c>
      <c r="H175" s="205"/>
      <c r="I175" s="1662"/>
      <c r="J175" s="1662"/>
      <c r="K175" s="1665"/>
      <c r="L175" s="1401"/>
      <c r="M175" s="1401"/>
      <c r="N175" s="1401"/>
      <c r="O175" s="1401"/>
      <c r="P175" s="1405"/>
      <c r="Q175" s="1401"/>
      <c r="R175" s="411"/>
      <c r="S175" s="1401"/>
      <c r="T175" s="193"/>
      <c r="U175" s="403"/>
      <c r="V175" s="1432"/>
      <c r="W175" s="404"/>
      <c r="X175" s="1649"/>
      <c r="Y175" s="1649"/>
      <c r="Z175" s="1649"/>
      <c r="AA175" s="1653"/>
      <c r="AB175" s="1656"/>
      <c r="AC175" s="1653"/>
      <c r="AD175" s="1656"/>
      <c r="AE175" s="1659"/>
      <c r="AF175" s="1656"/>
      <c r="AG175" s="1653"/>
      <c r="AH175" s="1656"/>
      <c r="AI175" s="1653"/>
      <c r="AJ175" s="1649"/>
      <c r="AK175" s="1414"/>
      <c r="AL175" s="72"/>
      <c r="AM175" s="1541"/>
    </row>
    <row r="176" spans="2:39">
      <c r="B176" s="407"/>
      <c r="C176" s="343"/>
      <c r="D176" s="409" t="s">
        <v>496</v>
      </c>
      <c r="E176" s="193" t="s">
        <v>14</v>
      </c>
      <c r="F176" s="1693"/>
      <c r="G176" s="424">
        <v>30000000</v>
      </c>
      <c r="H176" s="205" t="s">
        <v>218</v>
      </c>
      <c r="I176" s="1662"/>
      <c r="J176" s="1662"/>
      <c r="K176" s="1665"/>
      <c r="L176" s="1401"/>
      <c r="M176" s="1401"/>
      <c r="N176" s="1401"/>
      <c r="O176" s="1401"/>
      <c r="P176" s="1405"/>
      <c r="Q176" s="1401"/>
      <c r="R176" s="411"/>
      <c r="S176" s="1401"/>
      <c r="T176" s="193"/>
      <c r="U176" s="403"/>
      <c r="V176" s="1432"/>
      <c r="W176" s="404"/>
      <c r="X176" s="1649"/>
      <c r="Y176" s="1649"/>
      <c r="Z176" s="1649"/>
      <c r="AA176" s="1653"/>
      <c r="AB176" s="1656"/>
      <c r="AC176" s="1653"/>
      <c r="AD176" s="1656"/>
      <c r="AE176" s="1659"/>
      <c r="AF176" s="1656"/>
      <c r="AG176" s="1653"/>
      <c r="AH176" s="1656"/>
      <c r="AI176" s="1653"/>
      <c r="AJ176" s="1649"/>
      <c r="AK176" s="1414"/>
      <c r="AL176" s="72"/>
      <c r="AM176" s="1541"/>
    </row>
    <row r="177" spans="2:39">
      <c r="B177" s="407"/>
      <c r="C177" s="343"/>
      <c r="D177" s="409" t="s">
        <v>689</v>
      </c>
      <c r="E177" s="193" t="s">
        <v>14</v>
      </c>
      <c r="F177" s="1693"/>
      <c r="G177" s="424">
        <v>30000000</v>
      </c>
      <c r="H177" s="205" t="s">
        <v>218</v>
      </c>
      <c r="I177" s="1662"/>
      <c r="J177" s="1662"/>
      <c r="K177" s="1665"/>
      <c r="L177" s="1401"/>
      <c r="M177" s="1401"/>
      <c r="N177" s="1401"/>
      <c r="O177" s="1401"/>
      <c r="P177" s="1405"/>
      <c r="Q177" s="1401"/>
      <c r="R177" s="411"/>
      <c r="S177" s="1401"/>
      <c r="T177" s="193"/>
      <c r="U177" s="403"/>
      <c r="V177" s="1432"/>
      <c r="W177" s="404"/>
      <c r="X177" s="1649"/>
      <c r="Y177" s="1649"/>
      <c r="Z177" s="1649"/>
      <c r="AA177" s="1653"/>
      <c r="AB177" s="1656"/>
      <c r="AC177" s="1653"/>
      <c r="AD177" s="1656"/>
      <c r="AE177" s="1659"/>
      <c r="AF177" s="1656"/>
      <c r="AG177" s="1653"/>
      <c r="AH177" s="1656"/>
      <c r="AI177" s="1653"/>
      <c r="AJ177" s="1649"/>
      <c r="AK177" s="1414"/>
      <c r="AL177" s="72"/>
      <c r="AM177" s="1541"/>
    </row>
    <row r="178" spans="2:39">
      <c r="B178" s="407"/>
      <c r="C178" s="343"/>
      <c r="D178" s="409" t="s">
        <v>582</v>
      </c>
      <c r="E178" s="193" t="s">
        <v>14</v>
      </c>
      <c r="F178" s="1693"/>
      <c r="G178" s="424">
        <v>30000000</v>
      </c>
      <c r="H178" s="205" t="s">
        <v>218</v>
      </c>
      <c r="I178" s="1662"/>
      <c r="J178" s="1662"/>
      <c r="K178" s="1665"/>
      <c r="L178" s="1401"/>
      <c r="M178" s="1401"/>
      <c r="N178" s="1401"/>
      <c r="O178" s="1401"/>
      <c r="P178" s="1405"/>
      <c r="Q178" s="1401"/>
      <c r="R178" s="411"/>
      <c r="S178" s="1401"/>
      <c r="T178" s="193"/>
      <c r="U178" s="403"/>
      <c r="V178" s="1432"/>
      <c r="W178" s="404"/>
      <c r="X178" s="1649"/>
      <c r="Y178" s="1649"/>
      <c r="Z178" s="1649"/>
      <c r="AA178" s="1653"/>
      <c r="AB178" s="1656"/>
      <c r="AC178" s="1653"/>
      <c r="AD178" s="1656"/>
      <c r="AE178" s="1659"/>
      <c r="AF178" s="1656"/>
      <c r="AG178" s="1653"/>
      <c r="AH178" s="1656"/>
      <c r="AI178" s="1653"/>
      <c r="AJ178" s="1649"/>
      <c r="AK178" s="1442">
        <v>0</v>
      </c>
      <c r="AL178" s="72"/>
      <c r="AM178" s="1541"/>
    </row>
    <row r="179" spans="2:39">
      <c r="B179" s="407"/>
      <c r="C179" s="343"/>
      <c r="D179" s="409" t="s">
        <v>109</v>
      </c>
      <c r="E179" s="193" t="s">
        <v>14</v>
      </c>
      <c r="F179" s="1693"/>
      <c r="G179" s="424">
        <v>30000000</v>
      </c>
      <c r="H179" s="205"/>
      <c r="I179" s="1662"/>
      <c r="J179" s="1662"/>
      <c r="K179" s="1665"/>
      <c r="L179" s="1401"/>
      <c r="M179" s="1401"/>
      <c r="N179" s="1401"/>
      <c r="O179" s="1401"/>
      <c r="P179" s="1405"/>
      <c r="Q179" s="1401"/>
      <c r="R179" s="411"/>
      <c r="S179" s="1401"/>
      <c r="T179" s="193"/>
      <c r="U179" s="403"/>
      <c r="V179" s="1432"/>
      <c r="W179" s="404"/>
      <c r="X179" s="1649"/>
      <c r="Y179" s="1649"/>
      <c r="Z179" s="1649"/>
      <c r="AA179" s="1653"/>
      <c r="AB179" s="1656"/>
      <c r="AC179" s="1653"/>
      <c r="AD179" s="1656"/>
      <c r="AE179" s="1659"/>
      <c r="AF179" s="1656"/>
      <c r="AG179" s="1653"/>
      <c r="AH179" s="1656"/>
      <c r="AI179" s="1653"/>
      <c r="AJ179" s="1649"/>
      <c r="AK179" s="1414"/>
      <c r="AL179" s="72"/>
      <c r="AM179" s="1541"/>
    </row>
    <row r="180" spans="2:39">
      <c r="B180" s="407"/>
      <c r="C180" s="343"/>
      <c r="D180" s="409" t="s">
        <v>113</v>
      </c>
      <c r="E180" s="193" t="s">
        <v>14</v>
      </c>
      <c r="F180" s="1693"/>
      <c r="G180" s="424">
        <v>30000000</v>
      </c>
      <c r="H180" s="205" t="s">
        <v>218</v>
      </c>
      <c r="I180" s="1662"/>
      <c r="J180" s="1662"/>
      <c r="K180" s="1665"/>
      <c r="L180" s="1401"/>
      <c r="M180" s="1401"/>
      <c r="N180" s="1401"/>
      <c r="O180" s="1401"/>
      <c r="P180" s="1405"/>
      <c r="Q180" s="1401"/>
      <c r="R180" s="411"/>
      <c r="S180" s="1401"/>
      <c r="T180" s="193"/>
      <c r="U180" s="403"/>
      <c r="V180" s="1432"/>
      <c r="W180" s="404"/>
      <c r="X180" s="1649"/>
      <c r="Y180" s="1649"/>
      <c r="Z180" s="1649"/>
      <c r="AA180" s="1653"/>
      <c r="AB180" s="1656"/>
      <c r="AC180" s="1653"/>
      <c r="AD180" s="1656"/>
      <c r="AE180" s="1659"/>
      <c r="AF180" s="1656"/>
      <c r="AG180" s="1653"/>
      <c r="AH180" s="1656"/>
      <c r="AI180" s="1653"/>
      <c r="AJ180" s="1649"/>
      <c r="AK180" s="1414"/>
      <c r="AL180" s="72"/>
      <c r="AM180" s="1541"/>
    </row>
    <row r="181" spans="2:39">
      <c r="B181" s="407"/>
      <c r="C181" s="343"/>
      <c r="D181" s="409" t="s">
        <v>112</v>
      </c>
      <c r="E181" s="193" t="s">
        <v>14</v>
      </c>
      <c r="F181" s="1693"/>
      <c r="G181" s="424">
        <v>30000000</v>
      </c>
      <c r="H181" s="205" t="s">
        <v>218</v>
      </c>
      <c r="I181" s="1662"/>
      <c r="J181" s="1662"/>
      <c r="K181" s="1665"/>
      <c r="L181" s="1401"/>
      <c r="M181" s="1401"/>
      <c r="N181" s="1401"/>
      <c r="O181" s="1401"/>
      <c r="P181" s="1405"/>
      <c r="Q181" s="1401"/>
      <c r="R181" s="411"/>
      <c r="S181" s="1401"/>
      <c r="T181" s="193"/>
      <c r="U181" s="403"/>
      <c r="V181" s="1432"/>
      <c r="W181" s="404"/>
      <c r="X181" s="1649"/>
      <c r="Y181" s="1649"/>
      <c r="Z181" s="1649"/>
      <c r="AA181" s="1653"/>
      <c r="AB181" s="1656"/>
      <c r="AC181" s="1653"/>
      <c r="AD181" s="1656"/>
      <c r="AE181" s="1659"/>
      <c r="AF181" s="1656"/>
      <c r="AG181" s="1653"/>
      <c r="AH181" s="1656"/>
      <c r="AI181" s="1653"/>
      <c r="AJ181" s="1649"/>
      <c r="AK181" s="1414"/>
      <c r="AL181" s="72"/>
      <c r="AM181" s="1541"/>
    </row>
    <row r="182" spans="2:39">
      <c r="B182" s="407"/>
      <c r="C182" s="343"/>
      <c r="D182" s="409" t="s">
        <v>167</v>
      </c>
      <c r="E182" s="193" t="s">
        <v>14</v>
      </c>
      <c r="F182" s="1693"/>
      <c r="G182" s="424">
        <v>30000000</v>
      </c>
      <c r="H182" s="205" t="s">
        <v>218</v>
      </c>
      <c r="I182" s="1662"/>
      <c r="J182" s="1662"/>
      <c r="K182" s="1665"/>
      <c r="L182" s="1401"/>
      <c r="M182" s="1401"/>
      <c r="N182" s="1401"/>
      <c r="O182" s="1401"/>
      <c r="P182" s="1405"/>
      <c r="Q182" s="1401"/>
      <c r="R182" s="411"/>
      <c r="S182" s="1401"/>
      <c r="T182" s="193"/>
      <c r="U182" s="403"/>
      <c r="V182" s="1432"/>
      <c r="W182" s="404"/>
      <c r="X182" s="1649"/>
      <c r="Y182" s="1649"/>
      <c r="Z182" s="1649"/>
      <c r="AA182" s="1653"/>
      <c r="AB182" s="1656"/>
      <c r="AC182" s="1653"/>
      <c r="AD182" s="1656"/>
      <c r="AE182" s="1659"/>
      <c r="AF182" s="1656"/>
      <c r="AG182" s="1653"/>
      <c r="AH182" s="1656"/>
      <c r="AI182" s="1653"/>
      <c r="AJ182" s="1649"/>
      <c r="AK182" s="1414"/>
      <c r="AL182" s="72"/>
      <c r="AM182" s="1541"/>
    </row>
    <row r="183" spans="2:39">
      <c r="B183" s="407"/>
      <c r="C183" s="343"/>
      <c r="D183" s="409" t="s">
        <v>78</v>
      </c>
      <c r="E183" s="193" t="s">
        <v>14</v>
      </c>
      <c r="F183" s="1693"/>
      <c r="G183" s="424">
        <v>30000000</v>
      </c>
      <c r="H183" s="205" t="s">
        <v>218</v>
      </c>
      <c r="I183" s="1662"/>
      <c r="J183" s="1662"/>
      <c r="K183" s="1665"/>
      <c r="L183" s="1401"/>
      <c r="M183" s="1401"/>
      <c r="N183" s="1401"/>
      <c r="O183" s="1401"/>
      <c r="P183" s="1405"/>
      <c r="Q183" s="1401"/>
      <c r="R183" s="411"/>
      <c r="S183" s="1401"/>
      <c r="T183" s="193"/>
      <c r="U183" s="403"/>
      <c r="V183" s="1432"/>
      <c r="W183" s="404"/>
      <c r="X183" s="1649"/>
      <c r="Y183" s="1649"/>
      <c r="Z183" s="1649"/>
      <c r="AA183" s="1653"/>
      <c r="AB183" s="1656"/>
      <c r="AC183" s="1653"/>
      <c r="AD183" s="1656"/>
      <c r="AE183" s="1659"/>
      <c r="AF183" s="1656"/>
      <c r="AG183" s="1653"/>
      <c r="AH183" s="1656"/>
      <c r="AI183" s="1653"/>
      <c r="AJ183" s="1649"/>
      <c r="AK183" s="1414"/>
      <c r="AL183" s="72"/>
      <c r="AM183" s="1541"/>
    </row>
    <row r="184" spans="2:39">
      <c r="B184" s="407"/>
      <c r="C184" s="343"/>
      <c r="D184" s="409" t="s">
        <v>694</v>
      </c>
      <c r="E184" s="193" t="s">
        <v>14</v>
      </c>
      <c r="F184" s="1693"/>
      <c r="G184" s="424">
        <v>30000000</v>
      </c>
      <c r="H184" s="205" t="s">
        <v>218</v>
      </c>
      <c r="I184" s="1662"/>
      <c r="J184" s="1662"/>
      <c r="K184" s="1665"/>
      <c r="L184" s="1401"/>
      <c r="M184" s="1401"/>
      <c r="N184" s="1401"/>
      <c r="O184" s="1401"/>
      <c r="P184" s="1405"/>
      <c r="Q184" s="1401"/>
      <c r="R184" s="411"/>
      <c r="S184" s="1401"/>
      <c r="T184" s="193"/>
      <c r="U184" s="403"/>
      <c r="V184" s="1432"/>
      <c r="W184" s="404"/>
      <c r="X184" s="1649"/>
      <c r="Y184" s="1649"/>
      <c r="Z184" s="1649"/>
      <c r="AA184" s="1653"/>
      <c r="AB184" s="1656"/>
      <c r="AC184" s="1653"/>
      <c r="AD184" s="1656"/>
      <c r="AE184" s="1659"/>
      <c r="AF184" s="1656"/>
      <c r="AG184" s="1653"/>
      <c r="AH184" s="1656"/>
      <c r="AI184" s="1653"/>
      <c r="AJ184" s="1649"/>
      <c r="AK184" s="1414"/>
      <c r="AL184" s="72"/>
      <c r="AM184" s="1541"/>
    </row>
    <row r="185" spans="2:39">
      <c r="B185" s="407"/>
      <c r="C185" s="343"/>
      <c r="D185" s="409" t="s">
        <v>584</v>
      </c>
      <c r="E185" s="193" t="s">
        <v>14</v>
      </c>
      <c r="F185" s="1693"/>
      <c r="G185" s="424">
        <v>30000000</v>
      </c>
      <c r="H185" s="205" t="s">
        <v>218</v>
      </c>
      <c r="I185" s="1662"/>
      <c r="J185" s="1662"/>
      <c r="K185" s="1665"/>
      <c r="L185" s="1401"/>
      <c r="M185" s="1401"/>
      <c r="N185" s="1401"/>
      <c r="O185" s="1401"/>
      <c r="P185" s="1405"/>
      <c r="Q185" s="1401"/>
      <c r="R185" s="411"/>
      <c r="S185" s="1401"/>
      <c r="T185" s="193"/>
      <c r="U185" s="403"/>
      <c r="V185" s="1432"/>
      <c r="W185" s="404"/>
      <c r="X185" s="1649"/>
      <c r="Y185" s="1649"/>
      <c r="Z185" s="1649"/>
      <c r="AA185" s="1653"/>
      <c r="AB185" s="1656"/>
      <c r="AC185" s="1653"/>
      <c r="AD185" s="1656"/>
      <c r="AE185" s="1659"/>
      <c r="AF185" s="1656"/>
      <c r="AG185" s="1653"/>
      <c r="AH185" s="1656"/>
      <c r="AI185" s="1653"/>
      <c r="AJ185" s="1649"/>
      <c r="AK185" s="1414"/>
      <c r="AL185" s="72"/>
      <c r="AM185" s="1541"/>
    </row>
    <row r="186" spans="2:39">
      <c r="B186" s="407"/>
      <c r="C186" s="343"/>
      <c r="D186" s="409" t="s">
        <v>583</v>
      </c>
      <c r="E186" s="193" t="s">
        <v>14</v>
      </c>
      <c r="F186" s="1693"/>
      <c r="G186" s="424">
        <v>30000000</v>
      </c>
      <c r="H186" s="205" t="s">
        <v>218</v>
      </c>
      <c r="I186" s="1662"/>
      <c r="J186" s="1662"/>
      <c r="K186" s="1665"/>
      <c r="L186" s="1401"/>
      <c r="M186" s="1401"/>
      <c r="N186" s="1401"/>
      <c r="O186" s="1401"/>
      <c r="P186" s="1405"/>
      <c r="Q186" s="1401"/>
      <c r="R186" s="411"/>
      <c r="S186" s="1401"/>
      <c r="T186" s="193"/>
      <c r="U186" s="403"/>
      <c r="V186" s="1432"/>
      <c r="W186" s="404"/>
      <c r="X186" s="1649"/>
      <c r="Y186" s="1649"/>
      <c r="Z186" s="1649"/>
      <c r="AA186" s="1653"/>
      <c r="AB186" s="1656"/>
      <c r="AC186" s="1653"/>
      <c r="AD186" s="1656"/>
      <c r="AE186" s="1659"/>
      <c r="AF186" s="1656"/>
      <c r="AG186" s="1653"/>
      <c r="AH186" s="1656"/>
      <c r="AI186" s="1653"/>
      <c r="AJ186" s="1649"/>
      <c r="AK186" s="1414"/>
      <c r="AL186" s="72"/>
      <c r="AM186" s="1541"/>
    </row>
    <row r="187" spans="2:39" ht="22.5">
      <c r="B187" s="407"/>
      <c r="C187" s="343"/>
      <c r="D187" s="409" t="s">
        <v>763</v>
      </c>
      <c r="E187" s="193" t="s">
        <v>14</v>
      </c>
      <c r="F187" s="1693"/>
      <c r="G187" s="424">
        <v>30000000</v>
      </c>
      <c r="H187" s="205" t="s">
        <v>218</v>
      </c>
      <c r="I187" s="1663"/>
      <c r="J187" s="1663"/>
      <c r="K187" s="1666"/>
      <c r="L187" s="1402"/>
      <c r="M187" s="1402"/>
      <c r="N187" s="1402"/>
      <c r="O187" s="1402"/>
      <c r="P187" s="1406"/>
      <c r="Q187" s="1402"/>
      <c r="R187" s="412"/>
      <c r="S187" s="1402"/>
      <c r="T187" s="193"/>
      <c r="U187" s="403"/>
      <c r="V187" s="1432"/>
      <c r="W187" s="404"/>
      <c r="X187" s="1650"/>
      <c r="Y187" s="1650"/>
      <c r="Z187" s="1650"/>
      <c r="AA187" s="1654"/>
      <c r="AB187" s="1657"/>
      <c r="AC187" s="1654"/>
      <c r="AD187" s="1657"/>
      <c r="AE187" s="1660"/>
      <c r="AF187" s="1657"/>
      <c r="AG187" s="1654"/>
      <c r="AH187" s="1657"/>
      <c r="AI187" s="1654"/>
      <c r="AJ187" s="1650"/>
      <c r="AK187" s="1414"/>
      <c r="AL187" s="72"/>
      <c r="AM187" s="1541"/>
    </row>
    <row r="188" spans="2:39">
      <c r="B188" s="407"/>
      <c r="C188" s="343"/>
      <c r="D188" s="425"/>
      <c r="E188" s="193"/>
      <c r="F188" s="1403"/>
      <c r="G188" s="424"/>
      <c r="H188" s="205"/>
      <c r="I188" s="1399"/>
      <c r="J188" s="1399"/>
      <c r="K188" s="205"/>
      <c r="L188" s="205"/>
      <c r="M188" s="205"/>
      <c r="N188" s="205"/>
      <c r="O188" s="205"/>
      <c r="P188" s="1077"/>
      <c r="Q188" s="205"/>
      <c r="R188" s="346"/>
      <c r="S188" s="205"/>
      <c r="T188" s="193"/>
      <c r="U188" s="403"/>
      <c r="V188" s="1432"/>
      <c r="W188" s="404"/>
      <c r="X188" s="405"/>
      <c r="Y188" s="405"/>
      <c r="Z188" s="221"/>
      <c r="AA188" s="417"/>
      <c r="AB188" s="1432"/>
      <c r="AC188" s="405"/>
      <c r="AD188" s="1455"/>
      <c r="AE188" s="673"/>
      <c r="AF188" s="1455"/>
      <c r="AG188" s="405"/>
      <c r="AH188" s="1455"/>
      <c r="AI188" s="405"/>
      <c r="AJ188" s="221"/>
      <c r="AK188" s="1414"/>
      <c r="AL188" s="72"/>
      <c r="AM188" s="1541"/>
    </row>
    <row r="189" spans="2:39" ht="22.5">
      <c r="B189" s="418"/>
      <c r="C189" s="384"/>
      <c r="D189" s="419" t="s">
        <v>795</v>
      </c>
      <c r="E189" s="1403" t="s">
        <v>14</v>
      </c>
      <c r="F189" s="1667" t="s">
        <v>731</v>
      </c>
      <c r="G189" s="426">
        <v>65000000</v>
      </c>
      <c r="H189" s="205">
        <f>SUM(G189:G194)</f>
        <v>292000000</v>
      </c>
      <c r="I189" s="1661" t="s">
        <v>796</v>
      </c>
      <c r="J189" s="1661" t="s">
        <v>797</v>
      </c>
      <c r="K189" s="1664" t="s">
        <v>37</v>
      </c>
      <c r="L189" s="1400"/>
      <c r="M189" s="1400"/>
      <c r="N189" s="1400"/>
      <c r="O189" s="1400"/>
      <c r="P189" s="1404"/>
      <c r="Q189" s="1400"/>
      <c r="R189" s="410"/>
      <c r="S189" s="1400"/>
      <c r="T189" s="193"/>
      <c r="U189" s="403"/>
      <c r="V189" s="1432"/>
      <c r="W189" s="404"/>
      <c r="X189" s="1651"/>
      <c r="Y189" s="1651"/>
      <c r="Z189" s="1651" t="s">
        <v>89</v>
      </c>
      <c r="AA189" s="1652">
        <f>+$H$192*0.2</f>
        <v>0</v>
      </c>
      <c r="AB189" s="1655" t="s">
        <v>91</v>
      </c>
      <c r="AC189" s="1652">
        <f>+$H$192*0.2</f>
        <v>0</v>
      </c>
      <c r="AD189" s="1655" t="s">
        <v>70</v>
      </c>
      <c r="AE189" s="1658">
        <f>+$H$192*0.2</f>
        <v>0</v>
      </c>
      <c r="AF189" s="1655" t="s">
        <v>90</v>
      </c>
      <c r="AG189" s="1652">
        <f>+$H$192*0.2</f>
        <v>0</v>
      </c>
      <c r="AH189" s="1655" t="s">
        <v>79</v>
      </c>
      <c r="AI189" s="1652">
        <f>+$H$192*0.2</f>
        <v>0</v>
      </c>
      <c r="AJ189" s="1648">
        <f>+AI189+AG189+AE189+AC189+AA189</f>
        <v>0</v>
      </c>
      <c r="AK189" s="1414"/>
      <c r="AL189" s="72"/>
      <c r="AM189" s="1541"/>
    </row>
    <row r="190" spans="2:39">
      <c r="B190" s="418"/>
      <c r="C190" s="384"/>
      <c r="D190" s="420" t="s">
        <v>798</v>
      </c>
      <c r="E190" s="1403" t="s">
        <v>14</v>
      </c>
      <c r="F190" s="1668"/>
      <c r="G190" s="421">
        <v>22000000</v>
      </c>
      <c r="H190" s="205"/>
      <c r="I190" s="1662"/>
      <c r="J190" s="1662"/>
      <c r="K190" s="1665"/>
      <c r="L190" s="1401"/>
      <c r="M190" s="1401"/>
      <c r="N190" s="1401"/>
      <c r="O190" s="1401"/>
      <c r="P190" s="1405"/>
      <c r="Q190" s="1401"/>
      <c r="R190" s="411"/>
      <c r="S190" s="1401"/>
      <c r="T190" s="193"/>
      <c r="U190" s="403"/>
      <c r="V190" s="1432"/>
      <c r="W190" s="404"/>
      <c r="X190" s="1649"/>
      <c r="Y190" s="1649"/>
      <c r="Z190" s="1649"/>
      <c r="AA190" s="1653"/>
      <c r="AB190" s="1656"/>
      <c r="AC190" s="1653"/>
      <c r="AD190" s="1656"/>
      <c r="AE190" s="1659"/>
      <c r="AF190" s="1656"/>
      <c r="AG190" s="1653"/>
      <c r="AH190" s="1656"/>
      <c r="AI190" s="1653"/>
      <c r="AJ190" s="1649"/>
      <c r="AK190" s="1414"/>
      <c r="AL190" s="72"/>
      <c r="AM190" s="1541"/>
    </row>
    <row r="191" spans="2:39">
      <c r="B191" s="418"/>
      <c r="C191" s="343"/>
      <c r="D191" s="420" t="s">
        <v>799</v>
      </c>
      <c r="E191" s="1403" t="s">
        <v>14</v>
      </c>
      <c r="F191" s="1668"/>
      <c r="G191" s="421">
        <v>10000000</v>
      </c>
      <c r="H191" s="205"/>
      <c r="I191" s="1662"/>
      <c r="J191" s="1662"/>
      <c r="K191" s="1665"/>
      <c r="L191" s="1401"/>
      <c r="M191" s="1401"/>
      <c r="N191" s="1401"/>
      <c r="O191" s="1401"/>
      <c r="P191" s="1405"/>
      <c r="Q191" s="1401"/>
      <c r="R191" s="411"/>
      <c r="S191" s="1401"/>
      <c r="T191" s="193"/>
      <c r="U191" s="403"/>
      <c r="V191" s="1432"/>
      <c r="W191" s="404"/>
      <c r="X191" s="1649"/>
      <c r="Y191" s="1649"/>
      <c r="Z191" s="1649"/>
      <c r="AA191" s="1653"/>
      <c r="AB191" s="1656"/>
      <c r="AC191" s="1653"/>
      <c r="AD191" s="1656"/>
      <c r="AE191" s="1659"/>
      <c r="AF191" s="1656"/>
      <c r="AG191" s="1653"/>
      <c r="AH191" s="1656"/>
      <c r="AI191" s="1653"/>
      <c r="AJ191" s="1649"/>
      <c r="AK191" s="1414"/>
      <c r="AL191" s="72"/>
      <c r="AM191" s="1541"/>
    </row>
    <row r="192" spans="2:39">
      <c r="B192" s="418"/>
      <c r="C192" s="343"/>
      <c r="D192" s="420" t="s">
        <v>800</v>
      </c>
      <c r="E192" s="1403" t="s">
        <v>14</v>
      </c>
      <c r="F192" s="1668"/>
      <c r="G192" s="421">
        <v>53000000</v>
      </c>
      <c r="H192" s="205"/>
      <c r="I192" s="1662"/>
      <c r="J192" s="1662"/>
      <c r="K192" s="1665"/>
      <c r="L192" s="1401"/>
      <c r="M192" s="1401"/>
      <c r="N192" s="1401"/>
      <c r="O192" s="1401"/>
      <c r="P192" s="1405"/>
      <c r="Q192" s="1401"/>
      <c r="R192" s="411"/>
      <c r="S192" s="1401"/>
      <c r="T192" s="193"/>
      <c r="U192" s="403"/>
      <c r="V192" s="1432"/>
      <c r="W192" s="404"/>
      <c r="X192" s="1649"/>
      <c r="Y192" s="1649"/>
      <c r="Z192" s="1649"/>
      <c r="AA192" s="1653"/>
      <c r="AB192" s="1656"/>
      <c r="AC192" s="1653"/>
      <c r="AD192" s="1656"/>
      <c r="AE192" s="1659"/>
      <c r="AF192" s="1656"/>
      <c r="AG192" s="1653"/>
      <c r="AH192" s="1656"/>
      <c r="AI192" s="1653"/>
      <c r="AJ192" s="1649"/>
      <c r="AK192" s="1414"/>
      <c r="AL192" s="72"/>
      <c r="AM192" s="1541"/>
    </row>
    <row r="193" spans="2:39" ht="22.5">
      <c r="B193" s="427"/>
      <c r="C193" s="343"/>
      <c r="D193" s="420" t="s">
        <v>801</v>
      </c>
      <c r="E193" s="1403" t="s">
        <v>14</v>
      </c>
      <c r="F193" s="1668"/>
      <c r="G193" s="421">
        <v>87000000</v>
      </c>
      <c r="H193" s="205"/>
      <c r="I193" s="1662"/>
      <c r="J193" s="1662"/>
      <c r="K193" s="1665"/>
      <c r="L193" s="1401"/>
      <c r="M193" s="1401"/>
      <c r="N193" s="1401"/>
      <c r="O193" s="1401"/>
      <c r="P193" s="1405"/>
      <c r="Q193" s="1401"/>
      <c r="R193" s="411"/>
      <c r="S193" s="1401"/>
      <c r="T193" s="193"/>
      <c r="U193" s="403"/>
      <c r="V193" s="1432"/>
      <c r="W193" s="404"/>
      <c r="X193" s="1649"/>
      <c r="Y193" s="1649"/>
      <c r="Z193" s="1649"/>
      <c r="AA193" s="1653"/>
      <c r="AB193" s="1656"/>
      <c r="AC193" s="1653"/>
      <c r="AD193" s="1656"/>
      <c r="AE193" s="1659"/>
      <c r="AF193" s="1656"/>
      <c r="AG193" s="1653"/>
      <c r="AH193" s="1656"/>
      <c r="AI193" s="1653"/>
      <c r="AJ193" s="1649"/>
      <c r="AK193" s="1414"/>
      <c r="AL193" s="72"/>
      <c r="AM193" s="1541"/>
    </row>
    <row r="194" spans="2:39">
      <c r="B194" s="428"/>
      <c r="C194" s="343"/>
      <c r="D194" s="429" t="s">
        <v>802</v>
      </c>
      <c r="E194" s="1403" t="s">
        <v>14</v>
      </c>
      <c r="F194" s="1694"/>
      <c r="G194" s="385">
        <v>55000000</v>
      </c>
      <c r="H194" s="205"/>
      <c r="I194" s="1663"/>
      <c r="J194" s="1663"/>
      <c r="K194" s="1666"/>
      <c r="L194" s="1402"/>
      <c r="M194" s="1402"/>
      <c r="N194" s="1402"/>
      <c r="O194" s="1402"/>
      <c r="P194" s="1406"/>
      <c r="Q194" s="1402"/>
      <c r="R194" s="412"/>
      <c r="S194" s="1402"/>
      <c r="T194" s="193"/>
      <c r="U194" s="403"/>
      <c r="V194" s="1432"/>
      <c r="W194" s="404"/>
      <c r="X194" s="1650"/>
      <c r="Y194" s="1650"/>
      <c r="Z194" s="1650"/>
      <c r="AA194" s="1654"/>
      <c r="AB194" s="1657"/>
      <c r="AC194" s="1654"/>
      <c r="AD194" s="1657"/>
      <c r="AE194" s="1660"/>
      <c r="AF194" s="1657"/>
      <c r="AG194" s="1654"/>
      <c r="AH194" s="1657"/>
      <c r="AI194" s="1654"/>
      <c r="AJ194" s="1650"/>
      <c r="AK194" s="1414"/>
      <c r="AL194" s="72"/>
      <c r="AM194" s="1541"/>
    </row>
    <row r="195" spans="2:39" ht="112.5">
      <c r="B195" s="351" t="s">
        <v>813</v>
      </c>
      <c r="C195" s="352">
        <f>SUM(G198:G206)</f>
        <v>30000000000</v>
      </c>
      <c r="D195" s="360"/>
      <c r="E195" s="430"/>
      <c r="F195" s="124"/>
      <c r="G195" s="353"/>
      <c r="H195" s="193"/>
      <c r="I195" s="193"/>
      <c r="J195" s="193"/>
      <c r="K195" s="205"/>
      <c r="L195" s="205"/>
      <c r="M195" s="205"/>
      <c r="N195" s="205"/>
      <c r="O195" s="205"/>
      <c r="P195" s="1077"/>
      <c r="Q195" s="205"/>
      <c r="R195" s="346"/>
      <c r="S195" s="205"/>
      <c r="T195" s="124"/>
      <c r="U195" s="347"/>
      <c r="V195" s="1412"/>
      <c r="W195" s="348"/>
      <c r="X195" s="349"/>
      <c r="Y195" s="349"/>
      <c r="Z195" s="368"/>
      <c r="AA195" s="431"/>
      <c r="AB195" s="1412"/>
      <c r="AC195" s="349"/>
      <c r="AD195" s="1413"/>
      <c r="AE195" s="375"/>
      <c r="AF195" s="1413"/>
      <c r="AG195" s="349"/>
      <c r="AH195" s="1413"/>
      <c r="AI195" s="349"/>
      <c r="AJ195" s="222"/>
      <c r="AK195" s="1414"/>
      <c r="AL195" s="72"/>
    </row>
    <row r="196" spans="2:39">
      <c r="B196" s="432"/>
      <c r="C196" s="384"/>
      <c r="D196" s="379"/>
      <c r="E196" s="124"/>
      <c r="F196" s="124"/>
      <c r="G196" s="345"/>
      <c r="H196" s="193"/>
      <c r="I196" s="193"/>
      <c r="J196" s="193"/>
      <c r="K196" s="205"/>
      <c r="L196" s="205"/>
      <c r="M196" s="205"/>
      <c r="N196" s="205"/>
      <c r="O196" s="205"/>
      <c r="P196" s="1077"/>
      <c r="Q196" s="205"/>
      <c r="R196" s="346"/>
      <c r="S196" s="205"/>
      <c r="T196" s="124"/>
      <c r="U196" s="347"/>
      <c r="V196" s="1412"/>
      <c r="W196" s="348"/>
      <c r="X196" s="349"/>
      <c r="Y196" s="350"/>
      <c r="Z196" s="124"/>
      <c r="AA196" s="348"/>
      <c r="AB196" s="1412"/>
      <c r="AC196" s="350"/>
      <c r="AD196" s="1413"/>
      <c r="AE196" s="371"/>
      <c r="AF196" s="1413"/>
      <c r="AG196" s="350"/>
      <c r="AH196" s="1413"/>
      <c r="AI196" s="350"/>
      <c r="AJ196" s="24"/>
      <c r="AK196" s="1414"/>
      <c r="AL196" s="72"/>
    </row>
    <row r="197" spans="2:39" ht="22.5">
      <c r="B197" s="362" t="s">
        <v>142</v>
      </c>
      <c r="C197" s="387"/>
      <c r="D197" s="344"/>
      <c r="E197" s="124"/>
      <c r="F197" s="124"/>
      <c r="G197" s="390"/>
      <c r="H197" s="193"/>
      <c r="I197" s="193"/>
      <c r="J197" s="193"/>
      <c r="K197" s="205"/>
      <c r="L197" s="205"/>
      <c r="M197" s="205"/>
      <c r="N197" s="205"/>
      <c r="O197" s="205"/>
      <c r="P197" s="1077"/>
      <c r="Q197" s="205"/>
      <c r="R197" s="346"/>
      <c r="S197" s="205"/>
      <c r="T197" s="124"/>
      <c r="U197" s="347"/>
      <c r="V197" s="1412"/>
      <c r="W197" s="348"/>
      <c r="X197" s="349"/>
      <c r="Y197" s="350"/>
      <c r="Z197" s="124"/>
      <c r="AA197" s="348"/>
      <c r="AB197" s="1412"/>
      <c r="AC197" s="350"/>
      <c r="AD197" s="1413"/>
      <c r="AE197" s="371"/>
      <c r="AF197" s="1413"/>
      <c r="AG197" s="350"/>
      <c r="AH197" s="1413"/>
      <c r="AI197" s="350"/>
      <c r="AJ197" s="24"/>
      <c r="AK197" s="1414"/>
      <c r="AL197" s="72"/>
    </row>
    <row r="198" spans="2:39" ht="67.5">
      <c r="B198" s="432"/>
      <c r="C198" s="384"/>
      <c r="D198" s="433" t="s">
        <v>814</v>
      </c>
      <c r="E198" s="124"/>
      <c r="F198" s="392" t="s">
        <v>815</v>
      </c>
      <c r="G198" s="385">
        <v>3338400000</v>
      </c>
      <c r="H198" s="193" t="s">
        <v>6</v>
      </c>
      <c r="I198" s="373" t="s">
        <v>69</v>
      </c>
      <c r="J198" s="193" t="s">
        <v>69</v>
      </c>
      <c r="K198" s="205">
        <f t="shared" ref="K198" si="10">+G198*0.3</f>
        <v>1001520000</v>
      </c>
      <c r="L198" s="205"/>
      <c r="M198" s="205"/>
      <c r="N198" s="205"/>
      <c r="O198" s="205"/>
      <c r="P198" s="1077"/>
      <c r="Q198" s="205"/>
      <c r="R198" s="346"/>
      <c r="S198" s="205"/>
      <c r="T198" s="193"/>
      <c r="U198" s="347"/>
      <c r="V198" s="1432"/>
      <c r="W198" s="374"/>
      <c r="X198" s="375"/>
      <c r="Y198" s="371"/>
      <c r="Z198" s="193"/>
      <c r="AA198" s="374"/>
      <c r="AB198" s="1432" t="s">
        <v>91</v>
      </c>
      <c r="AC198" s="347">
        <f>+G198*0.2</f>
        <v>667680000</v>
      </c>
      <c r="AD198" s="1432" t="s">
        <v>70</v>
      </c>
      <c r="AE198" s="374">
        <f>+G198*0.3</f>
        <v>1001520000</v>
      </c>
      <c r="AF198" s="1432" t="s">
        <v>90</v>
      </c>
      <c r="AG198" s="374">
        <f t="shared" ref="AG198:AG206" si="11">+G198*0.15</f>
        <v>500760000</v>
      </c>
      <c r="AH198" s="1432" t="s">
        <v>79</v>
      </c>
      <c r="AI198" s="371">
        <f t="shared" ref="AI198:AI206" si="12">+G198*0.05</f>
        <v>166920000</v>
      </c>
      <c r="AJ198" s="1452">
        <f t="shared" ref="AJ198:AJ206" si="13">K198+AC198+AE198+AG198+AI198</f>
        <v>3338400000</v>
      </c>
      <c r="AK198" s="1442">
        <v>0</v>
      </c>
      <c r="AL198" s="72"/>
      <c r="AM198" s="1541">
        <v>7.0000000000000007E-2</v>
      </c>
    </row>
    <row r="199" spans="2:39" ht="90">
      <c r="B199" s="432"/>
      <c r="C199" s="384"/>
      <c r="D199" s="433" t="s">
        <v>816</v>
      </c>
      <c r="E199" s="124"/>
      <c r="F199" s="392" t="s">
        <v>817</v>
      </c>
      <c r="G199" s="385">
        <v>2741750000</v>
      </c>
      <c r="H199" s="193" t="s">
        <v>13</v>
      </c>
      <c r="I199" s="193" t="str">
        <f>+I204</f>
        <v>JULIO</v>
      </c>
      <c r="J199" s="193" t="s">
        <v>89</v>
      </c>
      <c r="K199" s="205">
        <f>+G199*0.3</f>
        <v>822525000</v>
      </c>
      <c r="L199" s="205"/>
      <c r="M199" s="205"/>
      <c r="N199" s="205"/>
      <c r="O199" s="205"/>
      <c r="P199" s="1077"/>
      <c r="Q199" s="205"/>
      <c r="R199" s="346"/>
      <c r="S199" s="205"/>
      <c r="T199" s="193"/>
      <c r="U199" s="347"/>
      <c r="V199" s="1432"/>
      <c r="W199" s="374"/>
      <c r="X199" s="375"/>
      <c r="Y199" s="371"/>
      <c r="Z199" s="193"/>
      <c r="AA199" s="374"/>
      <c r="AB199" s="1432" t="s">
        <v>91</v>
      </c>
      <c r="AC199" s="347">
        <f>+G199*0.2</f>
        <v>548350000</v>
      </c>
      <c r="AD199" s="1432" t="s">
        <v>70</v>
      </c>
      <c r="AE199" s="374">
        <f>+G199*0.3</f>
        <v>822525000</v>
      </c>
      <c r="AF199" s="1432" t="s">
        <v>90</v>
      </c>
      <c r="AG199" s="374">
        <f t="shared" si="11"/>
        <v>411262500</v>
      </c>
      <c r="AH199" s="1432" t="s">
        <v>79</v>
      </c>
      <c r="AI199" s="371">
        <f t="shared" si="12"/>
        <v>137087500</v>
      </c>
      <c r="AJ199" s="1452">
        <f t="shared" si="13"/>
        <v>2741750000</v>
      </c>
      <c r="AK199" s="1442">
        <v>0</v>
      </c>
      <c r="AL199" s="72"/>
      <c r="AM199" s="1541"/>
    </row>
    <row r="200" spans="2:39" ht="56.25">
      <c r="B200" s="432"/>
      <c r="C200" s="384"/>
      <c r="D200" s="433" t="s">
        <v>818</v>
      </c>
      <c r="E200" s="124"/>
      <c r="F200" s="392" t="s">
        <v>819</v>
      </c>
      <c r="G200" s="385">
        <v>6002700000</v>
      </c>
      <c r="H200" s="193" t="s">
        <v>6</v>
      </c>
      <c r="I200" s="373" t="s">
        <v>69</v>
      </c>
      <c r="J200" s="193" t="s">
        <v>69</v>
      </c>
      <c r="K200" s="205">
        <f t="shared" ref="K200:K206" si="14">+G200*0.3</f>
        <v>1800810000</v>
      </c>
      <c r="L200" s="205"/>
      <c r="M200" s="205"/>
      <c r="N200" s="205"/>
      <c r="O200" s="205"/>
      <c r="P200" s="1077"/>
      <c r="Q200" s="205"/>
      <c r="R200" s="346"/>
      <c r="S200" s="205"/>
      <c r="T200" s="193"/>
      <c r="U200" s="347"/>
      <c r="V200" s="1432"/>
      <c r="W200" s="374"/>
      <c r="X200" s="375"/>
      <c r="Y200" s="371"/>
      <c r="Z200" s="193"/>
      <c r="AA200" s="374"/>
      <c r="AB200" s="1432" t="s">
        <v>91</v>
      </c>
      <c r="AC200" s="347">
        <f t="shared" ref="AC200:AC211" si="15">+G200*0.2</f>
        <v>1200540000</v>
      </c>
      <c r="AD200" s="1432" t="s">
        <v>70</v>
      </c>
      <c r="AE200" s="374">
        <f t="shared" ref="AE200:AE211" si="16">+G200*0.3</f>
        <v>1800810000</v>
      </c>
      <c r="AF200" s="1432" t="s">
        <v>90</v>
      </c>
      <c r="AG200" s="374">
        <f t="shared" si="11"/>
        <v>900405000</v>
      </c>
      <c r="AH200" s="1432" t="s">
        <v>79</v>
      </c>
      <c r="AI200" s="371">
        <f t="shared" si="12"/>
        <v>300135000</v>
      </c>
      <c r="AJ200" s="1452">
        <f t="shared" si="13"/>
        <v>6002700000</v>
      </c>
      <c r="AK200" s="1442">
        <v>0.02</v>
      </c>
      <c r="AL200" s="72"/>
      <c r="AM200" s="1541"/>
    </row>
    <row r="201" spans="2:39" ht="56.25">
      <c r="B201" s="432"/>
      <c r="C201" s="384"/>
      <c r="D201" s="433" t="s">
        <v>820</v>
      </c>
      <c r="E201" s="124"/>
      <c r="F201" s="392" t="s">
        <v>821</v>
      </c>
      <c r="G201" s="385">
        <v>609900000</v>
      </c>
      <c r="H201" s="193" t="s">
        <v>6</v>
      </c>
      <c r="I201" s="373" t="s">
        <v>69</v>
      </c>
      <c r="J201" s="193" t="s">
        <v>69</v>
      </c>
      <c r="K201" s="205">
        <f t="shared" si="14"/>
        <v>182970000</v>
      </c>
      <c r="L201" s="205"/>
      <c r="M201" s="205"/>
      <c r="N201" s="205"/>
      <c r="O201" s="205"/>
      <c r="P201" s="1077"/>
      <c r="Q201" s="205"/>
      <c r="R201" s="346"/>
      <c r="S201" s="205"/>
      <c r="T201" s="193"/>
      <c r="U201" s="347"/>
      <c r="V201" s="1432"/>
      <c r="W201" s="374"/>
      <c r="X201" s="375"/>
      <c r="Y201" s="371"/>
      <c r="Z201" s="193"/>
      <c r="AA201" s="374"/>
      <c r="AB201" s="1432" t="s">
        <v>91</v>
      </c>
      <c r="AC201" s="347">
        <f t="shared" si="15"/>
        <v>121980000</v>
      </c>
      <c r="AD201" s="1432" t="s">
        <v>70</v>
      </c>
      <c r="AE201" s="374">
        <f t="shared" si="16"/>
        <v>182970000</v>
      </c>
      <c r="AF201" s="1432" t="s">
        <v>90</v>
      </c>
      <c r="AG201" s="374">
        <f t="shared" si="11"/>
        <v>91485000</v>
      </c>
      <c r="AH201" s="1432" t="s">
        <v>79</v>
      </c>
      <c r="AI201" s="371">
        <f t="shared" si="12"/>
        <v>30495000</v>
      </c>
      <c r="AJ201" s="1452">
        <f t="shared" si="13"/>
        <v>609900000</v>
      </c>
      <c r="AK201" s="1442">
        <v>0.02</v>
      </c>
      <c r="AL201" s="72"/>
      <c r="AM201" s="1541"/>
    </row>
    <row r="202" spans="2:39" ht="56.25">
      <c r="B202" s="432"/>
      <c r="C202" s="384"/>
      <c r="D202" s="433" t="s">
        <v>822</v>
      </c>
      <c r="E202" s="124"/>
      <c r="F202" s="392" t="s">
        <v>821</v>
      </c>
      <c r="G202" s="385">
        <v>4317450000</v>
      </c>
      <c r="H202" s="193" t="s">
        <v>6</v>
      </c>
      <c r="I202" s="373" t="s">
        <v>69</v>
      </c>
      <c r="J202" s="193" t="s">
        <v>69</v>
      </c>
      <c r="K202" s="205">
        <f>+G202*0.3</f>
        <v>1295235000</v>
      </c>
      <c r="L202" s="205"/>
      <c r="M202" s="205"/>
      <c r="N202" s="205"/>
      <c r="O202" s="205"/>
      <c r="P202" s="1077"/>
      <c r="Q202" s="205"/>
      <c r="R202" s="346"/>
      <c r="S202" s="205"/>
      <c r="T202" s="193"/>
      <c r="U202" s="347"/>
      <c r="V202" s="1432"/>
      <c r="W202" s="374"/>
      <c r="X202" s="375"/>
      <c r="Y202" s="371"/>
      <c r="Z202" s="193"/>
      <c r="AA202" s="374"/>
      <c r="AB202" s="1432" t="s">
        <v>91</v>
      </c>
      <c r="AC202" s="347">
        <f t="shared" si="15"/>
        <v>863490000</v>
      </c>
      <c r="AD202" s="1432" t="s">
        <v>70</v>
      </c>
      <c r="AE202" s="374">
        <f t="shared" si="16"/>
        <v>1295235000</v>
      </c>
      <c r="AF202" s="1432" t="s">
        <v>90</v>
      </c>
      <c r="AG202" s="374">
        <f t="shared" si="11"/>
        <v>647617500</v>
      </c>
      <c r="AH202" s="1432" t="s">
        <v>79</v>
      </c>
      <c r="AI202" s="371">
        <f t="shared" si="12"/>
        <v>215872500</v>
      </c>
      <c r="AJ202" s="1452">
        <f t="shared" si="13"/>
        <v>4317450000</v>
      </c>
      <c r="AK202" s="1442">
        <v>0.02</v>
      </c>
      <c r="AL202" s="72"/>
      <c r="AM202" s="1541"/>
    </row>
    <row r="203" spans="2:39" ht="67.5">
      <c r="B203" s="432"/>
      <c r="C203" s="384"/>
      <c r="D203" s="433" t="s">
        <v>823</v>
      </c>
      <c r="E203" s="124"/>
      <c r="F203" s="392" t="s">
        <v>824</v>
      </c>
      <c r="G203" s="385">
        <v>4793600000</v>
      </c>
      <c r="H203" s="193" t="s">
        <v>6</v>
      </c>
      <c r="I203" s="373" t="s">
        <v>69</v>
      </c>
      <c r="J203" s="193" t="s">
        <v>69</v>
      </c>
      <c r="K203" s="205">
        <f t="shared" si="14"/>
        <v>1438080000</v>
      </c>
      <c r="L203" s="205"/>
      <c r="M203" s="205"/>
      <c r="N203" s="205"/>
      <c r="O203" s="205"/>
      <c r="P203" s="1077"/>
      <c r="Q203" s="205"/>
      <c r="R203" s="346"/>
      <c r="S203" s="205"/>
      <c r="T203" s="193"/>
      <c r="U203" s="347"/>
      <c r="V203" s="1432"/>
      <c r="W203" s="374"/>
      <c r="X203" s="375"/>
      <c r="Y203" s="371"/>
      <c r="Z203" s="193"/>
      <c r="AA203" s="374"/>
      <c r="AB203" s="1432" t="s">
        <v>91</v>
      </c>
      <c r="AC203" s="347">
        <f t="shared" si="15"/>
        <v>958720000</v>
      </c>
      <c r="AD203" s="1432" t="s">
        <v>70</v>
      </c>
      <c r="AE203" s="374">
        <f t="shared" si="16"/>
        <v>1438080000</v>
      </c>
      <c r="AF203" s="1432" t="s">
        <v>90</v>
      </c>
      <c r="AG203" s="374">
        <f t="shared" si="11"/>
        <v>719040000</v>
      </c>
      <c r="AH203" s="1432" t="s">
        <v>79</v>
      </c>
      <c r="AI203" s="371">
        <f t="shared" si="12"/>
        <v>239680000</v>
      </c>
      <c r="AJ203" s="1452">
        <f t="shared" si="13"/>
        <v>4793600000</v>
      </c>
      <c r="AK203" s="1442">
        <v>0.2</v>
      </c>
      <c r="AL203" s="72"/>
      <c r="AM203" s="1541"/>
    </row>
    <row r="204" spans="2:39" ht="56.25">
      <c r="B204" s="432"/>
      <c r="C204" s="384"/>
      <c r="D204" s="433" t="s">
        <v>825</v>
      </c>
      <c r="E204" s="124"/>
      <c r="F204" s="392" t="s">
        <v>826</v>
      </c>
      <c r="G204" s="385">
        <v>4108800000</v>
      </c>
      <c r="H204" s="193" t="s">
        <v>6</v>
      </c>
      <c r="I204" s="373" t="s">
        <v>69</v>
      </c>
      <c r="J204" s="193" t="s">
        <v>69</v>
      </c>
      <c r="K204" s="205">
        <f>+G204*0.3</f>
        <v>1232640000</v>
      </c>
      <c r="L204" s="205"/>
      <c r="M204" s="205"/>
      <c r="N204" s="205"/>
      <c r="O204" s="205"/>
      <c r="P204" s="1077"/>
      <c r="Q204" s="205"/>
      <c r="R204" s="346"/>
      <c r="S204" s="205"/>
      <c r="T204" s="193"/>
      <c r="U204" s="347"/>
      <c r="V204" s="1432"/>
      <c r="W204" s="374"/>
      <c r="X204" s="375"/>
      <c r="Y204" s="371"/>
      <c r="Z204" s="193"/>
      <c r="AA204" s="374"/>
      <c r="AB204" s="1432" t="s">
        <v>91</v>
      </c>
      <c r="AC204" s="347">
        <f t="shared" si="15"/>
        <v>821760000</v>
      </c>
      <c r="AD204" s="1432" t="s">
        <v>70</v>
      </c>
      <c r="AE204" s="374">
        <f t="shared" si="16"/>
        <v>1232640000</v>
      </c>
      <c r="AF204" s="1432" t="s">
        <v>90</v>
      </c>
      <c r="AG204" s="374">
        <f t="shared" si="11"/>
        <v>616320000</v>
      </c>
      <c r="AH204" s="1432" t="s">
        <v>79</v>
      </c>
      <c r="AI204" s="371">
        <f t="shared" si="12"/>
        <v>205440000</v>
      </c>
      <c r="AJ204" s="1452">
        <f t="shared" si="13"/>
        <v>4108800000</v>
      </c>
      <c r="AK204" s="1442">
        <f>1239536983/AJ204</f>
        <v>0.30167858815225856</v>
      </c>
      <c r="AL204" s="72"/>
      <c r="AM204" s="1541"/>
    </row>
    <row r="205" spans="2:39" ht="67.5">
      <c r="B205" s="432"/>
      <c r="C205" s="384"/>
      <c r="D205" s="433" t="s">
        <v>827</v>
      </c>
      <c r="E205" s="124"/>
      <c r="F205" s="392" t="s">
        <v>828</v>
      </c>
      <c r="G205" s="385">
        <v>2311200000</v>
      </c>
      <c r="H205" s="193" t="s">
        <v>6</v>
      </c>
      <c r="I205" s="373" t="s">
        <v>69</v>
      </c>
      <c r="J205" s="193" t="s">
        <v>69</v>
      </c>
      <c r="K205" s="205">
        <f t="shared" si="14"/>
        <v>693360000</v>
      </c>
      <c r="L205" s="205"/>
      <c r="M205" s="205"/>
      <c r="N205" s="205"/>
      <c r="O205" s="205"/>
      <c r="P205" s="1077"/>
      <c r="Q205" s="205"/>
      <c r="R205" s="346"/>
      <c r="S205" s="205"/>
      <c r="T205" s="193"/>
      <c r="U205" s="347"/>
      <c r="V205" s="1432"/>
      <c r="W205" s="374"/>
      <c r="X205" s="375"/>
      <c r="Y205" s="371"/>
      <c r="Z205" s="193"/>
      <c r="AA205" s="374"/>
      <c r="AB205" s="1432" t="s">
        <v>91</v>
      </c>
      <c r="AC205" s="347">
        <f t="shared" si="15"/>
        <v>462240000</v>
      </c>
      <c r="AD205" s="1432" t="s">
        <v>70</v>
      </c>
      <c r="AE205" s="374">
        <f t="shared" si="16"/>
        <v>693360000</v>
      </c>
      <c r="AF205" s="1432" t="s">
        <v>90</v>
      </c>
      <c r="AG205" s="374">
        <f t="shared" si="11"/>
        <v>346680000</v>
      </c>
      <c r="AH205" s="1432" t="s">
        <v>79</v>
      </c>
      <c r="AI205" s="371">
        <f t="shared" si="12"/>
        <v>115560000</v>
      </c>
      <c r="AJ205" s="1452">
        <f t="shared" si="13"/>
        <v>2311200000</v>
      </c>
      <c r="AK205" s="1414"/>
      <c r="AL205" s="1443" t="s">
        <v>3158</v>
      </c>
      <c r="AM205" s="1541"/>
    </row>
    <row r="206" spans="2:39" ht="56.25">
      <c r="B206" s="432"/>
      <c r="C206" s="384"/>
      <c r="D206" s="433" t="s">
        <v>829</v>
      </c>
      <c r="E206" s="124"/>
      <c r="F206" s="392" t="s">
        <v>830</v>
      </c>
      <c r="G206" s="385">
        <v>1776200000</v>
      </c>
      <c r="H206" s="193" t="s">
        <v>6</v>
      </c>
      <c r="I206" s="373" t="s">
        <v>69</v>
      </c>
      <c r="J206" s="193" t="s">
        <v>69</v>
      </c>
      <c r="K206" s="205">
        <f t="shared" si="14"/>
        <v>532860000</v>
      </c>
      <c r="L206" s="205"/>
      <c r="M206" s="205"/>
      <c r="N206" s="205"/>
      <c r="O206" s="205"/>
      <c r="P206" s="1077"/>
      <c r="Q206" s="205"/>
      <c r="R206" s="346"/>
      <c r="S206" s="205"/>
      <c r="T206" s="193"/>
      <c r="U206" s="347"/>
      <c r="V206" s="1432"/>
      <c r="W206" s="374"/>
      <c r="X206" s="375"/>
      <c r="Y206" s="371"/>
      <c r="Z206" s="193"/>
      <c r="AA206" s="374"/>
      <c r="AB206" s="1432" t="s">
        <v>91</v>
      </c>
      <c r="AC206" s="347">
        <f t="shared" si="15"/>
        <v>355240000</v>
      </c>
      <c r="AD206" s="1432" t="s">
        <v>70</v>
      </c>
      <c r="AE206" s="374">
        <f t="shared" si="16"/>
        <v>532860000</v>
      </c>
      <c r="AF206" s="1432" t="s">
        <v>90</v>
      </c>
      <c r="AG206" s="374">
        <f t="shared" si="11"/>
        <v>266430000</v>
      </c>
      <c r="AH206" s="1432" t="s">
        <v>79</v>
      </c>
      <c r="AI206" s="371">
        <f t="shared" si="12"/>
        <v>88810000</v>
      </c>
      <c r="AJ206" s="1452">
        <f t="shared" si="13"/>
        <v>1776200000</v>
      </c>
      <c r="AK206" s="1442">
        <v>0</v>
      </c>
      <c r="AL206" s="72"/>
      <c r="AM206" s="1541"/>
    </row>
    <row r="207" spans="2:39" ht="56.25">
      <c r="B207" s="351" t="s">
        <v>831</v>
      </c>
      <c r="C207" s="352">
        <f>SUM(G209:G217)</f>
        <v>2877000000</v>
      </c>
      <c r="D207" s="370"/>
      <c r="E207" s="124"/>
      <c r="F207" s="124"/>
      <c r="G207" s="434"/>
      <c r="H207" s="193"/>
      <c r="I207" s="193"/>
      <c r="J207" s="193"/>
      <c r="K207" s="205"/>
      <c r="L207" s="205"/>
      <c r="M207" s="205"/>
      <c r="N207" s="205"/>
      <c r="O207" s="205"/>
      <c r="P207" s="1077"/>
      <c r="Q207" s="205"/>
      <c r="R207" s="346"/>
      <c r="S207" s="205"/>
      <c r="T207" s="124"/>
      <c r="U207" s="347"/>
      <c r="V207" s="1412"/>
      <c r="W207" s="348"/>
      <c r="X207" s="349"/>
      <c r="Y207" s="350"/>
      <c r="Z207" s="124"/>
      <c r="AA207" s="348"/>
      <c r="AB207" s="1412"/>
      <c r="AC207" s="347">
        <f t="shared" si="15"/>
        <v>0</v>
      </c>
      <c r="AD207" s="1412"/>
      <c r="AE207" s="374">
        <f t="shared" si="16"/>
        <v>0</v>
      </c>
      <c r="AF207" s="1412"/>
      <c r="AG207" s="348"/>
      <c r="AH207" s="1412"/>
      <c r="AI207" s="350"/>
      <c r="AJ207" s="24"/>
      <c r="AK207" s="1414"/>
      <c r="AL207" s="72"/>
    </row>
    <row r="208" spans="2:39">
      <c r="B208" s="428"/>
      <c r="C208" s="343"/>
      <c r="D208" s="344"/>
      <c r="E208" s="124"/>
      <c r="F208" s="124"/>
      <c r="G208" s="345"/>
      <c r="H208" s="193"/>
      <c r="I208" s="193"/>
      <c r="J208" s="193"/>
      <c r="K208" s="205"/>
      <c r="L208" s="205"/>
      <c r="M208" s="205"/>
      <c r="N208" s="205"/>
      <c r="O208" s="205"/>
      <c r="P208" s="1077"/>
      <c r="Q208" s="205"/>
      <c r="R208" s="346"/>
      <c r="S208" s="205"/>
      <c r="T208" s="124"/>
      <c r="U208" s="347"/>
      <c r="V208" s="1412"/>
      <c r="W208" s="348"/>
      <c r="X208" s="349"/>
      <c r="Y208" s="350"/>
      <c r="Z208" s="124"/>
      <c r="AA208" s="348"/>
      <c r="AB208" s="1412"/>
      <c r="AC208" s="347">
        <f t="shared" si="15"/>
        <v>0</v>
      </c>
      <c r="AD208" s="1412"/>
      <c r="AE208" s="374">
        <f t="shared" si="16"/>
        <v>0</v>
      </c>
      <c r="AF208" s="1412"/>
      <c r="AG208" s="348"/>
      <c r="AH208" s="1412"/>
      <c r="AI208" s="350"/>
      <c r="AJ208" s="24"/>
      <c r="AK208" s="1414"/>
      <c r="AL208" s="72"/>
    </row>
    <row r="209" spans="2:39" ht="56.25">
      <c r="B209" s="428"/>
      <c r="C209" s="387"/>
      <c r="D209" s="435" t="s">
        <v>162</v>
      </c>
      <c r="E209" s="124"/>
      <c r="F209" s="356" t="s">
        <v>832</v>
      </c>
      <c r="G209" s="388">
        <v>1200000000</v>
      </c>
      <c r="H209" s="193" t="s">
        <v>6</v>
      </c>
      <c r="I209" s="373" t="s">
        <v>69</v>
      </c>
      <c r="J209" s="193" t="s">
        <v>69</v>
      </c>
      <c r="K209" s="205">
        <f t="shared" ref="K209:K211" si="17">+G209*0.3</f>
        <v>360000000</v>
      </c>
      <c r="L209" s="205"/>
      <c r="M209" s="205"/>
      <c r="N209" s="205"/>
      <c r="O209" s="205"/>
      <c r="P209" s="1077"/>
      <c r="Q209" s="205"/>
      <c r="R209" s="346"/>
      <c r="S209" s="205"/>
      <c r="T209" s="193"/>
      <c r="U209" s="347"/>
      <c r="V209" s="1432"/>
      <c r="W209" s="374"/>
      <c r="X209" s="375"/>
      <c r="Y209" s="371"/>
      <c r="Z209" s="193"/>
      <c r="AA209" s="374"/>
      <c r="AB209" s="1432" t="s">
        <v>91</v>
      </c>
      <c r="AC209" s="347">
        <f t="shared" si="15"/>
        <v>240000000</v>
      </c>
      <c r="AD209" s="1432" t="s">
        <v>70</v>
      </c>
      <c r="AE209" s="374">
        <f t="shared" si="16"/>
        <v>360000000</v>
      </c>
      <c r="AF209" s="1432" t="s">
        <v>90</v>
      </c>
      <c r="AG209" s="374">
        <f>+M209*0.2</f>
        <v>0</v>
      </c>
      <c r="AH209" s="1432"/>
      <c r="AI209" s="371"/>
      <c r="AJ209" s="1452">
        <f>+AC209+AA209+W209+U209+K209</f>
        <v>600000000</v>
      </c>
      <c r="AK209" s="1442">
        <v>0</v>
      </c>
      <c r="AL209" s="72"/>
      <c r="AM209" s="1541">
        <v>0</v>
      </c>
    </row>
    <row r="210" spans="2:39" ht="78.75">
      <c r="B210" s="428"/>
      <c r="C210" s="387"/>
      <c r="D210" s="124" t="s">
        <v>833</v>
      </c>
      <c r="E210" s="124"/>
      <c r="F210" s="356" t="s">
        <v>834</v>
      </c>
      <c r="G210" s="388">
        <v>1177000000</v>
      </c>
      <c r="H210" s="193" t="s">
        <v>6</v>
      </c>
      <c r="I210" s="373" t="s">
        <v>69</v>
      </c>
      <c r="J210" s="193" t="s">
        <v>69</v>
      </c>
      <c r="K210" s="205">
        <f t="shared" si="17"/>
        <v>353100000</v>
      </c>
      <c r="L210" s="205"/>
      <c r="M210" s="205"/>
      <c r="N210" s="205"/>
      <c r="O210" s="205"/>
      <c r="P210" s="1077"/>
      <c r="Q210" s="205"/>
      <c r="R210" s="346"/>
      <c r="S210" s="205"/>
      <c r="T210" s="193"/>
      <c r="U210" s="347"/>
      <c r="V210" s="1432"/>
      <c r="W210" s="374"/>
      <c r="X210" s="375"/>
      <c r="Y210" s="371"/>
      <c r="Z210" s="193"/>
      <c r="AA210" s="374"/>
      <c r="AB210" s="1432" t="s">
        <v>91</v>
      </c>
      <c r="AC210" s="347">
        <f t="shared" si="15"/>
        <v>235400000</v>
      </c>
      <c r="AD210" s="1432" t="s">
        <v>70</v>
      </c>
      <c r="AE210" s="374">
        <f t="shared" si="16"/>
        <v>353100000</v>
      </c>
      <c r="AF210" s="1432" t="s">
        <v>90</v>
      </c>
      <c r="AG210" s="374">
        <f>+M210*0.2</f>
        <v>0</v>
      </c>
      <c r="AH210" s="1432"/>
      <c r="AI210" s="371"/>
      <c r="AJ210" s="1452">
        <f>+AC210+AA210+W210+U210+K210</f>
        <v>588500000</v>
      </c>
      <c r="AK210" s="1442">
        <v>0</v>
      </c>
      <c r="AL210" s="72"/>
      <c r="AM210" s="1541"/>
    </row>
    <row r="211" spans="2:39" ht="78.75">
      <c r="B211" s="428"/>
      <c r="C211" s="387"/>
      <c r="D211" s="435" t="s">
        <v>835</v>
      </c>
      <c r="E211" s="124"/>
      <c r="F211" s="356" t="s">
        <v>836</v>
      </c>
      <c r="G211" s="388">
        <v>500000000</v>
      </c>
      <c r="H211" s="193" t="s">
        <v>6</v>
      </c>
      <c r="I211" s="373" t="s">
        <v>69</v>
      </c>
      <c r="J211" s="193" t="s">
        <v>69</v>
      </c>
      <c r="K211" s="205">
        <f t="shared" si="17"/>
        <v>150000000</v>
      </c>
      <c r="L211" s="205"/>
      <c r="M211" s="205"/>
      <c r="N211" s="205"/>
      <c r="O211" s="205"/>
      <c r="P211" s="1077"/>
      <c r="Q211" s="205"/>
      <c r="R211" s="346"/>
      <c r="S211" s="205"/>
      <c r="T211" s="193"/>
      <c r="U211" s="347"/>
      <c r="V211" s="1432"/>
      <c r="W211" s="374"/>
      <c r="X211" s="375"/>
      <c r="Y211" s="371"/>
      <c r="Z211" s="193"/>
      <c r="AA211" s="374"/>
      <c r="AB211" s="1432" t="s">
        <v>91</v>
      </c>
      <c r="AC211" s="347">
        <f t="shared" si="15"/>
        <v>100000000</v>
      </c>
      <c r="AD211" s="1432" t="s">
        <v>70</v>
      </c>
      <c r="AE211" s="374">
        <f t="shared" si="16"/>
        <v>150000000</v>
      </c>
      <c r="AF211" s="1432" t="s">
        <v>90</v>
      </c>
      <c r="AG211" s="374">
        <f>+M211*0.2</f>
        <v>0</v>
      </c>
      <c r="AH211" s="1432"/>
      <c r="AI211" s="371"/>
      <c r="AJ211" s="1452">
        <f>+AC211+AA211+W211+U211+K211</f>
        <v>250000000</v>
      </c>
      <c r="AK211" s="1442">
        <v>0</v>
      </c>
      <c r="AL211" s="72"/>
      <c r="AM211" s="1541"/>
    </row>
    <row r="213" spans="2:39">
      <c r="AM213" s="1221">
        <v>0.2</v>
      </c>
    </row>
  </sheetData>
  <mergeCells count="168">
    <mergeCell ref="AM56:AM60"/>
    <mergeCell ref="AM63:AM64"/>
    <mergeCell ref="AM67:AM68"/>
    <mergeCell ref="AM70:AM71"/>
    <mergeCell ref="AM209:AM211"/>
    <mergeCell ref="AM198:AM206"/>
    <mergeCell ref="AM73:AM81"/>
    <mergeCell ref="AM85:AM89"/>
    <mergeCell ref="AM91:AM109"/>
    <mergeCell ref="AM111:AM114"/>
    <mergeCell ref="AM129:AM145"/>
    <mergeCell ref="AM146:AM194"/>
    <mergeCell ref="AM18:AM19"/>
    <mergeCell ref="AM51:AM52"/>
    <mergeCell ref="AM8:AM16"/>
    <mergeCell ref="AM27:AM28"/>
    <mergeCell ref="AM30:AM31"/>
    <mergeCell ref="AM33:AM34"/>
    <mergeCell ref="AM36:AM37"/>
    <mergeCell ref="AM39:AM40"/>
    <mergeCell ref="AM42:AM43"/>
    <mergeCell ref="AM45:AM46"/>
    <mergeCell ref="AM48:AM49"/>
    <mergeCell ref="AC189:AC194"/>
    <mergeCell ref="AD189:AD194"/>
    <mergeCell ref="AE189:AE194"/>
    <mergeCell ref="AF189:AF194"/>
    <mergeCell ref="AG189:AG194"/>
    <mergeCell ref="AH189:AH194"/>
    <mergeCell ref="AI189:AI194"/>
    <mergeCell ref="AJ189:AJ194"/>
    <mergeCell ref="F168:F187"/>
    <mergeCell ref="I168:I187"/>
    <mergeCell ref="F189:F194"/>
    <mergeCell ref="I189:I194"/>
    <mergeCell ref="J189:J194"/>
    <mergeCell ref="K189:K194"/>
    <mergeCell ref="X189:X194"/>
    <mergeCell ref="Y189:Y194"/>
    <mergeCell ref="Z189:Z194"/>
    <mergeCell ref="AA189:AA194"/>
    <mergeCell ref="AB189:AB194"/>
    <mergeCell ref="AJ141:AJ145"/>
    <mergeCell ref="F149:F154"/>
    <mergeCell ref="I149:I154"/>
    <mergeCell ref="J149:J154"/>
    <mergeCell ref="K149:K154"/>
    <mergeCell ref="X149:X154"/>
    <mergeCell ref="Y149:Y154"/>
    <mergeCell ref="Z149:Z154"/>
    <mergeCell ref="AA149:AA154"/>
    <mergeCell ref="AB149:AB154"/>
    <mergeCell ref="AC149:AC154"/>
    <mergeCell ref="AD149:AD154"/>
    <mergeCell ref="AE149:AE154"/>
    <mergeCell ref="AF149:AF154"/>
    <mergeCell ref="AG149:AG154"/>
    <mergeCell ref="AH149:AH154"/>
    <mergeCell ref="AI149:AI154"/>
    <mergeCell ref="AJ149:AJ154"/>
    <mergeCell ref="F141:F145"/>
    <mergeCell ref="I141:I145"/>
    <mergeCell ref="J141:J145"/>
    <mergeCell ref="K141:K145"/>
    <mergeCell ref="X141:X145"/>
    <mergeCell ref="Y141:Y145"/>
    <mergeCell ref="D8:D10"/>
    <mergeCell ref="Z141:Z145"/>
    <mergeCell ref="AA141:AA145"/>
    <mergeCell ref="AB141:AB145"/>
    <mergeCell ref="AJ129:AJ134"/>
    <mergeCell ref="F135:F140"/>
    <mergeCell ref="I135:I140"/>
    <mergeCell ref="J135:J140"/>
    <mergeCell ref="K135:K140"/>
    <mergeCell ref="X135:X140"/>
    <mergeCell ref="Y135:Y140"/>
    <mergeCell ref="Z135:Z140"/>
    <mergeCell ref="AA135:AA140"/>
    <mergeCell ref="AB135:AB140"/>
    <mergeCell ref="AC135:AC140"/>
    <mergeCell ref="AD135:AD140"/>
    <mergeCell ref="AE135:AE140"/>
    <mergeCell ref="AF135:AF140"/>
    <mergeCell ref="AG135:AG140"/>
    <mergeCell ref="AH135:AH140"/>
    <mergeCell ref="AI135:AI140"/>
    <mergeCell ref="AJ135:AJ140"/>
    <mergeCell ref="J129:J134"/>
    <mergeCell ref="K129:K134"/>
    <mergeCell ref="B1:C1"/>
    <mergeCell ref="D1:AL1"/>
    <mergeCell ref="J2:AL2"/>
    <mergeCell ref="B3:B5"/>
    <mergeCell ref="C3:C5"/>
    <mergeCell ref="D3:D5"/>
    <mergeCell ref="E3:E4"/>
    <mergeCell ref="F3:F5"/>
    <mergeCell ref="G3:G5"/>
    <mergeCell ref="H3:H5"/>
    <mergeCell ref="I3:I5"/>
    <mergeCell ref="J3:AJ3"/>
    <mergeCell ref="AK3:AL3"/>
    <mergeCell ref="J4:K4"/>
    <mergeCell ref="L4:AJ4"/>
    <mergeCell ref="AK4:AK5"/>
    <mergeCell ref="AL4:AL5"/>
    <mergeCell ref="F8:F10"/>
    <mergeCell ref="F73:F78"/>
    <mergeCell ref="F120:F125"/>
    <mergeCell ref="AJ8:AJ10"/>
    <mergeCell ref="AK8:AK10"/>
    <mergeCell ref="AJ11:AJ12"/>
    <mergeCell ref="AJ13:AJ15"/>
    <mergeCell ref="AK13:AK15"/>
    <mergeCell ref="F129:F134"/>
    <mergeCell ref="I129:I134"/>
    <mergeCell ref="AE129:AE134"/>
    <mergeCell ref="AF129:AF134"/>
    <mergeCell ref="AG129:AG134"/>
    <mergeCell ref="AH129:AH134"/>
    <mergeCell ref="AI129:AI134"/>
    <mergeCell ref="Y129:Y134"/>
    <mergeCell ref="Z129:Z134"/>
    <mergeCell ref="AA129:AA134"/>
    <mergeCell ref="AB129:AB134"/>
    <mergeCell ref="AC129:AC134"/>
    <mergeCell ref="AD129:AD134"/>
    <mergeCell ref="X129:X134"/>
    <mergeCell ref="AC141:AC145"/>
    <mergeCell ref="AD141:AD145"/>
    <mergeCell ref="AE141:AE145"/>
    <mergeCell ref="AF141:AF145"/>
    <mergeCell ref="AG141:AG145"/>
    <mergeCell ref="AH141:AH145"/>
    <mergeCell ref="AI141:AI145"/>
    <mergeCell ref="F157:F166"/>
    <mergeCell ref="I157:I166"/>
    <mergeCell ref="J157:J166"/>
    <mergeCell ref="K157:K166"/>
    <mergeCell ref="X157:X166"/>
    <mergeCell ref="Y157:Y166"/>
    <mergeCell ref="Z157:Z166"/>
    <mergeCell ref="AA157:AA166"/>
    <mergeCell ref="AB157:AB166"/>
    <mergeCell ref="AC157:AC166"/>
    <mergeCell ref="AJ157:AJ166"/>
    <mergeCell ref="Y168:Y187"/>
    <mergeCell ref="Z168:Z187"/>
    <mergeCell ref="AA168:AA187"/>
    <mergeCell ref="AB168:AB187"/>
    <mergeCell ref="AC168:AC187"/>
    <mergeCell ref="AD168:AD187"/>
    <mergeCell ref="AE168:AE187"/>
    <mergeCell ref="J168:J187"/>
    <mergeCell ref="K168:K187"/>
    <mergeCell ref="X168:X187"/>
    <mergeCell ref="AD157:AD166"/>
    <mergeCell ref="AE157:AE166"/>
    <mergeCell ref="AF157:AF166"/>
    <mergeCell ref="AG157:AG166"/>
    <mergeCell ref="AH157:AH166"/>
    <mergeCell ref="AI157:AI166"/>
    <mergeCell ref="AF168:AF187"/>
    <mergeCell ref="AG168:AG187"/>
    <mergeCell ref="AH168:AH187"/>
    <mergeCell ref="AI168:AI187"/>
    <mergeCell ref="AJ168:AJ18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2:V50"/>
  <sheetViews>
    <sheetView zoomScale="90" zoomScaleNormal="90" workbookViewId="0">
      <pane xSplit="2" ySplit="6" topLeftCell="Q7" activePane="bottomRight" state="frozen"/>
      <selection pane="topRight" activeCell="C1" sqref="C1"/>
      <selection pane="bottomLeft" activeCell="A7" sqref="A7"/>
      <selection pane="bottomRight" activeCell="V9" sqref="V9"/>
    </sheetView>
  </sheetViews>
  <sheetFormatPr baseColWidth="10" defaultRowHeight="15"/>
  <cols>
    <col min="1" max="1" width="2.140625" style="43" customWidth="1"/>
    <col min="2" max="2" width="32.140625" style="43" customWidth="1"/>
    <col min="3" max="3" width="23.7109375" style="43" bestFit="1" customWidth="1"/>
    <col min="4" max="4" width="21.28515625" style="43" customWidth="1"/>
    <col min="5" max="5" width="27.5703125" style="43" customWidth="1"/>
    <col min="6" max="6" width="52.140625" style="43" customWidth="1"/>
    <col min="7" max="7" width="25.28515625" style="43" customWidth="1"/>
    <col min="8" max="8" width="23.85546875" style="43" customWidth="1"/>
    <col min="9" max="9" width="21.42578125" style="43" customWidth="1"/>
    <col min="10" max="10" width="11.42578125" style="43"/>
    <col min="11" max="11" width="9.7109375" style="43" customWidth="1"/>
    <col min="12" max="12" width="15.5703125" style="43" customWidth="1"/>
    <col min="13" max="13" width="26" style="43" bestFit="1" customWidth="1"/>
    <col min="14" max="14" width="17.7109375" style="43" bestFit="1" customWidth="1"/>
    <col min="15" max="15" width="33.5703125" style="43" bestFit="1" customWidth="1"/>
    <col min="16" max="16" width="17.7109375" style="43" bestFit="1" customWidth="1"/>
    <col min="17" max="17" width="47" style="43" customWidth="1"/>
    <col min="18" max="18" width="17.7109375" style="43" bestFit="1" customWidth="1"/>
    <col min="19" max="19" width="56" style="43" customWidth="1"/>
    <col min="20" max="20" width="17.7109375" style="43" bestFit="1" customWidth="1"/>
    <col min="21" max="21" width="56" style="43" customWidth="1"/>
    <col min="22" max="16384" width="11.42578125" style="43"/>
  </cols>
  <sheetData>
    <row r="2" spans="1:22" ht="39" customHeight="1">
      <c r="A2" s="1467" t="s">
        <v>537</v>
      </c>
      <c r="B2" s="1467"/>
      <c r="C2" s="1467"/>
      <c r="D2" s="1467"/>
      <c r="E2" s="1467"/>
      <c r="F2" s="1467"/>
      <c r="G2" s="1467"/>
      <c r="H2" s="1467"/>
      <c r="I2" s="1467"/>
      <c r="J2" s="1467"/>
      <c r="K2" s="1467"/>
      <c r="L2" s="1467"/>
      <c r="M2" s="1467"/>
      <c r="N2" s="1467"/>
      <c r="O2" s="1467"/>
      <c r="P2" s="1467"/>
      <c r="Q2" s="1467"/>
      <c r="R2" s="1467"/>
      <c r="S2" s="1467"/>
    </row>
    <row r="3" spans="1:22" ht="15.75" thickBot="1">
      <c r="A3" s="48"/>
      <c r="B3" s="48"/>
      <c r="C3" s="48"/>
      <c r="D3" s="48"/>
      <c r="E3" s="48"/>
      <c r="F3" s="48"/>
      <c r="G3" s="48"/>
      <c r="H3" s="48"/>
      <c r="I3" s="48"/>
      <c r="J3" s="1469" t="s">
        <v>228</v>
      </c>
      <c r="K3" s="1469"/>
      <c r="L3" s="1469"/>
      <c r="M3" s="1469"/>
      <c r="N3" s="1469"/>
      <c r="O3" s="1469"/>
    </row>
    <row r="4" spans="1:22" ht="15.75" thickBot="1">
      <c r="A4" s="48"/>
      <c r="B4" s="1530" t="s">
        <v>48</v>
      </c>
      <c r="C4" s="1530" t="s">
        <v>49</v>
      </c>
      <c r="D4" s="1530" t="s">
        <v>229</v>
      </c>
      <c r="E4" s="1530" t="s">
        <v>230</v>
      </c>
      <c r="F4" s="1530" t="s">
        <v>131</v>
      </c>
      <c r="G4" s="1530" t="s">
        <v>231</v>
      </c>
      <c r="H4" s="1530" t="s">
        <v>232</v>
      </c>
      <c r="I4" s="1530" t="s">
        <v>233</v>
      </c>
      <c r="J4" s="1530" t="s">
        <v>234</v>
      </c>
      <c r="K4" s="1530"/>
      <c r="L4" s="1530"/>
      <c r="M4" s="1530"/>
      <c r="N4" s="1711" t="s">
        <v>235</v>
      </c>
      <c r="O4" s="1712"/>
      <c r="P4" s="1711" t="s">
        <v>1306</v>
      </c>
      <c r="Q4" s="1712"/>
      <c r="R4" s="1711" t="s">
        <v>1446</v>
      </c>
      <c r="S4" s="1712"/>
      <c r="T4" s="1711" t="s">
        <v>1314</v>
      </c>
      <c r="U4" s="1712"/>
    </row>
    <row r="5" spans="1:22" ht="15.75" thickBot="1">
      <c r="A5" s="48"/>
      <c r="B5" s="1530"/>
      <c r="C5" s="1530"/>
      <c r="D5" s="1530"/>
      <c r="E5" s="1530"/>
      <c r="F5" s="1530"/>
      <c r="G5" s="1530"/>
      <c r="H5" s="1530"/>
      <c r="I5" s="1530"/>
      <c r="J5" s="1522" t="s">
        <v>236</v>
      </c>
      <c r="K5" s="1522"/>
      <c r="L5" s="1523" t="s">
        <v>237</v>
      </c>
      <c r="M5" s="1523"/>
      <c r="N5" s="1713" t="s">
        <v>18</v>
      </c>
      <c r="O5" s="1713" t="s">
        <v>71</v>
      </c>
      <c r="P5" s="1713" t="s">
        <v>18</v>
      </c>
      <c r="Q5" s="1713" t="s">
        <v>71</v>
      </c>
      <c r="R5" s="1713" t="s">
        <v>18</v>
      </c>
      <c r="S5" s="1713" t="s">
        <v>71</v>
      </c>
      <c r="T5" s="1713" t="s">
        <v>18</v>
      </c>
      <c r="U5" s="1713" t="s">
        <v>71</v>
      </c>
    </row>
    <row r="6" spans="1:22" ht="15.75" thickBot="1">
      <c r="A6" s="48"/>
      <c r="B6" s="1530"/>
      <c r="C6" s="1530"/>
      <c r="D6" s="1530"/>
      <c r="E6" s="1021" t="s">
        <v>238</v>
      </c>
      <c r="F6" s="1530"/>
      <c r="G6" s="1530"/>
      <c r="H6" s="1530"/>
      <c r="I6" s="1530"/>
      <c r="J6" s="62" t="s">
        <v>239</v>
      </c>
      <c r="K6" s="62" t="s">
        <v>240</v>
      </c>
      <c r="L6" s="62" t="s">
        <v>239</v>
      </c>
      <c r="M6" s="62" t="s">
        <v>240</v>
      </c>
      <c r="N6" s="1714"/>
      <c r="O6" s="1714"/>
      <c r="P6" s="1714"/>
      <c r="Q6" s="1714"/>
      <c r="R6" s="1714"/>
      <c r="S6" s="1714"/>
      <c r="T6" s="1714"/>
      <c r="U6" s="1714"/>
    </row>
    <row r="7" spans="1:22" ht="22.5">
      <c r="B7" s="190" t="s">
        <v>39</v>
      </c>
      <c r="C7" s="191">
        <f>C8+C10+C27+C32+C39+C46+C47+C48+C49+C50</f>
        <v>1669000000</v>
      </c>
      <c r="D7" s="192"/>
      <c r="E7" s="109" t="s">
        <v>37</v>
      </c>
      <c r="F7" s="190" t="s">
        <v>39</v>
      </c>
      <c r="G7" s="191">
        <f>G8+G10+G27+G32+G39+G46+G47+G48+G49+G50</f>
        <v>1667800000</v>
      </c>
      <c r="H7" s="193"/>
      <c r="I7" s="124"/>
      <c r="J7" s="124"/>
      <c r="K7" s="124"/>
      <c r="L7" s="124"/>
      <c r="M7" s="191"/>
      <c r="N7" s="194"/>
      <c r="O7" s="194"/>
      <c r="P7" s="194"/>
      <c r="Q7" s="194"/>
      <c r="R7" s="194"/>
      <c r="S7" s="194"/>
      <c r="T7" s="194"/>
      <c r="U7" s="194"/>
    </row>
    <row r="8" spans="1:22" ht="22.5">
      <c r="B8" s="196" t="s">
        <v>43</v>
      </c>
      <c r="C8" s="197">
        <v>141340000</v>
      </c>
      <c r="D8" s="198"/>
      <c r="E8" s="109"/>
      <c r="F8" s="199"/>
      <c r="G8" s="197">
        <f>C8</f>
        <v>141340000</v>
      </c>
      <c r="H8" s="193"/>
      <c r="I8" s="124"/>
      <c r="J8" s="124"/>
      <c r="K8" s="124"/>
      <c r="L8" s="124"/>
      <c r="M8" s="197">
        <f>SUM(M9:M9)</f>
        <v>124725000</v>
      </c>
      <c r="N8" s="200"/>
      <c r="O8" s="200"/>
      <c r="P8" s="200"/>
      <c r="Q8" s="200"/>
      <c r="R8" s="200"/>
      <c r="S8" s="200"/>
      <c r="T8" s="200"/>
      <c r="U8" s="200"/>
    </row>
    <row r="9" spans="1:22" ht="79.150000000000006" customHeight="1">
      <c r="B9" s="201" t="s">
        <v>538</v>
      </c>
      <c r="C9" s="197">
        <v>141340000</v>
      </c>
      <c r="D9" s="202" t="s">
        <v>0</v>
      </c>
      <c r="E9" s="203" t="s">
        <v>37</v>
      </c>
      <c r="F9" s="202" t="s">
        <v>539</v>
      </c>
      <c r="G9" s="197">
        <f>C9</f>
        <v>141340000</v>
      </c>
      <c r="H9" s="203" t="s">
        <v>50</v>
      </c>
      <c r="I9" s="203" t="s">
        <v>50</v>
      </c>
      <c r="J9" s="204"/>
      <c r="K9" s="204"/>
      <c r="L9" s="203" t="s">
        <v>4</v>
      </c>
      <c r="M9" s="197">
        <v>124725000</v>
      </c>
      <c r="N9" s="205" t="s">
        <v>14</v>
      </c>
      <c r="O9" s="206" t="s">
        <v>540</v>
      </c>
      <c r="P9" s="205" t="s">
        <v>14</v>
      </c>
      <c r="Q9" s="206" t="s">
        <v>2013</v>
      </c>
      <c r="R9" s="205" t="s">
        <v>14</v>
      </c>
      <c r="S9" s="206" t="s">
        <v>2014</v>
      </c>
      <c r="T9" s="205"/>
      <c r="U9" s="206"/>
      <c r="V9" s="1221">
        <f>5/6</f>
        <v>0.83333333333333337</v>
      </c>
    </row>
    <row r="10" spans="1:22" ht="56.25">
      <c r="B10" s="220" t="s">
        <v>40</v>
      </c>
      <c r="C10" s="1068">
        <f>SUM(C11:C25)</f>
        <v>660000000</v>
      </c>
      <c r="D10" s="207"/>
      <c r="E10" s="1069" t="s">
        <v>37</v>
      </c>
      <c r="F10" s="208"/>
      <c r="G10" s="209">
        <f>SUM(G11:G25)</f>
        <v>658800000</v>
      </c>
      <c r="H10" s="221"/>
      <c r="I10" s="368"/>
      <c r="J10" s="368"/>
      <c r="K10" s="368"/>
      <c r="L10" s="368"/>
      <c r="M10" s="209">
        <f>SUM(M11:M25)</f>
        <v>658800000</v>
      </c>
      <c r="N10" s="1070"/>
      <c r="O10" s="1070"/>
      <c r="P10" s="205"/>
      <c r="Q10" s="1070"/>
      <c r="R10" s="205"/>
      <c r="S10" s="1070"/>
      <c r="T10" s="205"/>
      <c r="U10" s="1070"/>
    </row>
    <row r="11" spans="1:22" ht="34.5" customHeight="1">
      <c r="B11" s="1715" t="s">
        <v>40</v>
      </c>
      <c r="C11" s="1071">
        <v>223000000</v>
      </c>
      <c r="D11" s="1072" t="s">
        <v>0</v>
      </c>
      <c r="E11" s="1073" t="s">
        <v>37</v>
      </c>
      <c r="F11" s="1715" t="s">
        <v>541</v>
      </c>
      <c r="G11" s="1074">
        <v>46000000</v>
      </c>
      <c r="H11" s="1073" t="s">
        <v>5</v>
      </c>
      <c r="I11" s="1073" t="s">
        <v>6</v>
      </c>
      <c r="J11" s="1072"/>
      <c r="K11" s="1072"/>
      <c r="L11" s="1075" t="s">
        <v>36</v>
      </c>
      <c r="M11" s="1074">
        <v>46000000</v>
      </c>
      <c r="N11" s="1076" t="s">
        <v>14</v>
      </c>
      <c r="O11" s="1070"/>
      <c r="P11" s="205" t="s">
        <v>14</v>
      </c>
      <c r="Q11" s="1702" t="s">
        <v>2015</v>
      </c>
      <c r="R11" s="205"/>
      <c r="S11" s="1702" t="s">
        <v>2016</v>
      </c>
      <c r="T11" s="1705" t="s">
        <v>14</v>
      </c>
      <c r="U11" s="1708" t="s">
        <v>2017</v>
      </c>
    </row>
    <row r="12" spans="1:22" ht="23.25" customHeight="1">
      <c r="B12" s="1716"/>
      <c r="C12" s="1071"/>
      <c r="D12" s="1072"/>
      <c r="E12" s="1073" t="s">
        <v>37</v>
      </c>
      <c r="F12" s="1716"/>
      <c r="G12" s="1074">
        <v>46000000</v>
      </c>
      <c r="H12" s="1073" t="s">
        <v>542</v>
      </c>
      <c r="I12" s="1073" t="s">
        <v>36</v>
      </c>
      <c r="J12" s="1072"/>
      <c r="K12" s="1072"/>
      <c r="L12" s="1075" t="s">
        <v>89</v>
      </c>
      <c r="M12" s="1074">
        <v>46000000</v>
      </c>
      <c r="N12" s="1076"/>
      <c r="O12" s="1070"/>
      <c r="P12" s="205"/>
      <c r="Q12" s="1703"/>
      <c r="R12" s="205"/>
      <c r="S12" s="1703"/>
      <c r="T12" s="1706"/>
      <c r="U12" s="1709"/>
    </row>
    <row r="13" spans="1:22">
      <c r="B13" s="1716"/>
      <c r="C13" s="1071"/>
      <c r="D13" s="1072"/>
      <c r="E13" s="1073" t="s">
        <v>37</v>
      </c>
      <c r="F13" s="1716"/>
      <c r="G13" s="1074">
        <v>46000000</v>
      </c>
      <c r="H13" s="1073" t="s">
        <v>69</v>
      </c>
      <c r="I13" s="1073" t="s">
        <v>89</v>
      </c>
      <c r="J13" s="1072"/>
      <c r="K13" s="1072"/>
      <c r="L13" s="1075" t="s">
        <v>89</v>
      </c>
      <c r="M13" s="1074">
        <v>46000000</v>
      </c>
      <c r="N13" s="1076"/>
      <c r="O13" s="1070"/>
      <c r="P13" s="205"/>
      <c r="Q13" s="1703"/>
      <c r="R13" s="205"/>
      <c r="S13" s="1703"/>
      <c r="T13" s="1706"/>
      <c r="U13" s="1709"/>
    </row>
    <row r="14" spans="1:22" s="42" customFormat="1" ht="25.5" customHeight="1">
      <c r="B14" s="1716"/>
      <c r="C14" s="1071"/>
      <c r="D14" s="1072"/>
      <c r="E14" s="1073" t="s">
        <v>37</v>
      </c>
      <c r="F14" s="1716"/>
      <c r="G14" s="1074">
        <v>46000000</v>
      </c>
      <c r="H14" s="1073" t="s">
        <v>91</v>
      </c>
      <c r="I14" s="1073" t="s">
        <v>70</v>
      </c>
      <c r="J14" s="1072"/>
      <c r="K14" s="1072"/>
      <c r="L14" s="1075" t="s">
        <v>90</v>
      </c>
      <c r="M14" s="1074">
        <v>46000000</v>
      </c>
      <c r="N14" s="1076"/>
      <c r="O14" s="1070"/>
      <c r="P14" s="1077"/>
      <c r="Q14" s="1703"/>
      <c r="R14" s="1077" t="s">
        <v>14</v>
      </c>
      <c r="S14" s="1703"/>
      <c r="T14" s="1706"/>
      <c r="U14" s="1709"/>
    </row>
    <row r="15" spans="1:22" ht="27" customHeight="1">
      <c r="B15" s="1716"/>
      <c r="C15" s="1071"/>
      <c r="D15" s="1072"/>
      <c r="E15" s="1073" t="s">
        <v>37</v>
      </c>
      <c r="F15" s="1716"/>
      <c r="G15" s="1074">
        <v>46000000</v>
      </c>
      <c r="H15" s="1073" t="s">
        <v>90</v>
      </c>
      <c r="I15" s="1073" t="s">
        <v>79</v>
      </c>
      <c r="J15" s="1072"/>
      <c r="K15" s="1072"/>
      <c r="L15" s="1075" t="s">
        <v>79</v>
      </c>
      <c r="M15" s="1074">
        <v>46000000</v>
      </c>
      <c r="N15" s="1076"/>
      <c r="O15" s="1070"/>
      <c r="P15" s="205"/>
      <c r="Q15" s="1704"/>
      <c r="R15" s="205"/>
      <c r="S15" s="1704"/>
      <c r="T15" s="1707"/>
      <c r="U15" s="1710"/>
    </row>
    <row r="16" spans="1:22" ht="21.75" customHeight="1">
      <c r="B16" s="1716"/>
      <c r="C16" s="1071">
        <v>52000000</v>
      </c>
      <c r="D16" s="1072" t="s">
        <v>263</v>
      </c>
      <c r="E16" s="1073" t="s">
        <v>37</v>
      </c>
      <c r="F16" s="1716"/>
      <c r="G16" s="1074">
        <v>26000000</v>
      </c>
      <c r="H16" s="1073" t="s">
        <v>5</v>
      </c>
      <c r="I16" s="1073" t="s">
        <v>6</v>
      </c>
      <c r="J16" s="1072"/>
      <c r="K16" s="1072"/>
      <c r="L16" s="1075" t="s">
        <v>36</v>
      </c>
      <c r="M16" s="1074">
        <v>26000000</v>
      </c>
      <c r="N16" s="1076" t="s">
        <v>14</v>
      </c>
      <c r="O16" s="1078" t="s">
        <v>543</v>
      </c>
      <c r="P16" s="205" t="s">
        <v>14</v>
      </c>
      <c r="Q16" s="1696" t="s">
        <v>2015</v>
      </c>
      <c r="R16" s="205"/>
      <c r="S16" s="1696"/>
      <c r="T16" s="1664" t="s">
        <v>14</v>
      </c>
      <c r="U16" s="1699" t="s">
        <v>2018</v>
      </c>
    </row>
    <row r="17" spans="2:21" ht="25.5" customHeight="1">
      <c r="B17" s="1716"/>
      <c r="C17" s="1071"/>
      <c r="D17" s="1072"/>
      <c r="E17" s="1073"/>
      <c r="F17" s="1716"/>
      <c r="G17" s="1074">
        <v>26000000</v>
      </c>
      <c r="H17" s="1073" t="s">
        <v>36</v>
      </c>
      <c r="I17" s="1073" t="s">
        <v>69</v>
      </c>
      <c r="J17" s="1072"/>
      <c r="K17" s="1072"/>
      <c r="L17" s="1075" t="s">
        <v>79</v>
      </c>
      <c r="M17" s="1074">
        <v>26000000</v>
      </c>
      <c r="N17" s="1076"/>
      <c r="O17" s="1070"/>
      <c r="P17" s="205"/>
      <c r="Q17" s="1698"/>
      <c r="R17" s="205"/>
      <c r="S17" s="1698"/>
      <c r="T17" s="1666"/>
      <c r="U17" s="1701"/>
    </row>
    <row r="18" spans="2:21" ht="14.45" customHeight="1">
      <c r="B18" s="1716"/>
      <c r="C18" s="1071">
        <v>120000000</v>
      </c>
      <c r="D18" s="1072" t="s">
        <v>274</v>
      </c>
      <c r="E18" s="1073" t="s">
        <v>37</v>
      </c>
      <c r="F18" s="1716"/>
      <c r="G18" s="1074">
        <v>37600000</v>
      </c>
      <c r="H18" s="1073" t="s">
        <v>4</v>
      </c>
      <c r="I18" s="1073" t="s">
        <v>5</v>
      </c>
      <c r="J18" s="1072"/>
      <c r="K18" s="1072"/>
      <c r="L18" s="1075" t="s">
        <v>13</v>
      </c>
      <c r="M18" s="1074">
        <v>37600000</v>
      </c>
      <c r="N18" s="1076" t="s">
        <v>14</v>
      </c>
      <c r="O18" s="1070"/>
      <c r="P18" s="205" t="s">
        <v>14</v>
      </c>
      <c r="Q18" s="1696" t="s">
        <v>2015</v>
      </c>
      <c r="R18" s="205"/>
      <c r="S18" s="1696"/>
      <c r="T18" s="1664" t="s">
        <v>14</v>
      </c>
      <c r="U18" s="1699" t="s">
        <v>2019</v>
      </c>
    </row>
    <row r="19" spans="2:21">
      <c r="B19" s="1716"/>
      <c r="C19" s="1071"/>
      <c r="D19" s="1072"/>
      <c r="E19" s="1073"/>
      <c r="F19" s="1716"/>
      <c r="G19" s="1074">
        <v>37600000</v>
      </c>
      <c r="H19" s="1073" t="s">
        <v>36</v>
      </c>
      <c r="I19" s="1073" t="s">
        <v>69</v>
      </c>
      <c r="J19" s="1072"/>
      <c r="K19" s="1072"/>
      <c r="L19" s="1075" t="s">
        <v>89</v>
      </c>
      <c r="M19" s="1074">
        <v>37600000</v>
      </c>
      <c r="N19" s="1076"/>
      <c r="O19" s="1070"/>
      <c r="P19" s="205"/>
      <c r="Q19" s="1697"/>
      <c r="R19" s="205"/>
      <c r="S19" s="1697"/>
      <c r="T19" s="1665"/>
      <c r="U19" s="1700"/>
    </row>
    <row r="20" spans="2:21">
      <c r="B20" s="1716"/>
      <c r="C20" s="1071"/>
      <c r="D20" s="1072"/>
      <c r="E20" s="1073"/>
      <c r="F20" s="1716"/>
      <c r="G20" s="1074">
        <v>37600000</v>
      </c>
      <c r="H20" s="1073" t="s">
        <v>89</v>
      </c>
      <c r="I20" s="1073" t="s">
        <v>91</v>
      </c>
      <c r="J20" s="1072"/>
      <c r="K20" s="1072"/>
      <c r="L20" s="1075" t="s">
        <v>79</v>
      </c>
      <c r="M20" s="1074">
        <v>37600000</v>
      </c>
      <c r="N20" s="1076"/>
      <c r="O20" s="1070"/>
      <c r="P20" s="205"/>
      <c r="Q20" s="1698"/>
      <c r="R20" s="205"/>
      <c r="S20" s="1698"/>
      <c r="T20" s="1666"/>
      <c r="U20" s="1701"/>
    </row>
    <row r="21" spans="2:21">
      <c r="B21" s="1716"/>
      <c r="C21" s="1071">
        <v>160000000</v>
      </c>
      <c r="D21" s="1072" t="s">
        <v>265</v>
      </c>
      <c r="E21" s="1073" t="s">
        <v>37</v>
      </c>
      <c r="F21" s="1716"/>
      <c r="G21" s="1074">
        <v>53000000</v>
      </c>
      <c r="H21" s="1073" t="s">
        <v>4</v>
      </c>
      <c r="I21" s="1073" t="s">
        <v>4</v>
      </c>
      <c r="J21" s="1072"/>
      <c r="K21" s="1072"/>
      <c r="L21" s="1075" t="s">
        <v>6</v>
      </c>
      <c r="M21" s="1074">
        <v>53000000</v>
      </c>
      <c r="N21" s="1076" t="s">
        <v>14</v>
      </c>
      <c r="O21" s="1070"/>
      <c r="P21" s="205" t="s">
        <v>14</v>
      </c>
      <c r="Q21" s="1696" t="s">
        <v>2015</v>
      </c>
      <c r="R21" s="205"/>
      <c r="S21" s="1699" t="s">
        <v>2015</v>
      </c>
      <c r="T21" s="1664" t="s">
        <v>14</v>
      </c>
      <c r="U21" s="1699" t="s">
        <v>2019</v>
      </c>
    </row>
    <row r="22" spans="2:21">
      <c r="B22" s="1716"/>
      <c r="C22" s="1071"/>
      <c r="D22" s="1072"/>
      <c r="E22" s="1073"/>
      <c r="F22" s="1716"/>
      <c r="G22" s="1074">
        <v>53000000</v>
      </c>
      <c r="H22" s="1073" t="s">
        <v>542</v>
      </c>
      <c r="I22" s="1073" t="s">
        <v>36</v>
      </c>
      <c r="J22" s="1072"/>
      <c r="K22" s="1072"/>
      <c r="L22" s="1075" t="s">
        <v>70</v>
      </c>
      <c r="M22" s="1074">
        <v>53000000</v>
      </c>
      <c r="N22" s="1076"/>
      <c r="O22" s="1070"/>
      <c r="P22" s="205"/>
      <c r="Q22" s="1697"/>
      <c r="R22" s="205"/>
      <c r="S22" s="1700"/>
      <c r="T22" s="1665"/>
      <c r="U22" s="1700"/>
    </row>
    <row r="23" spans="2:21" s="42" customFormat="1">
      <c r="B23" s="1716"/>
      <c r="C23" s="1071"/>
      <c r="D23" s="1072"/>
      <c r="E23" s="1073"/>
      <c r="F23" s="1716"/>
      <c r="G23" s="1074">
        <v>53000000</v>
      </c>
      <c r="H23" s="1073" t="s">
        <v>91</v>
      </c>
      <c r="I23" s="1073" t="s">
        <v>90</v>
      </c>
      <c r="J23" s="1072"/>
      <c r="K23" s="1072"/>
      <c r="L23" s="1075" t="s">
        <v>79</v>
      </c>
      <c r="M23" s="1074">
        <v>53000000</v>
      </c>
      <c r="N23" s="1076"/>
      <c r="O23" s="1070"/>
      <c r="P23" s="1077"/>
      <c r="Q23" s="1698"/>
      <c r="R23" s="1077" t="s">
        <v>14</v>
      </c>
      <c r="S23" s="1701"/>
      <c r="T23" s="1666"/>
      <c r="U23" s="1701"/>
    </row>
    <row r="24" spans="2:21" ht="45">
      <c r="B24" s="1716"/>
      <c r="C24" s="1071">
        <v>55000000</v>
      </c>
      <c r="D24" s="1072" t="s">
        <v>544</v>
      </c>
      <c r="E24" s="1073" t="s">
        <v>37</v>
      </c>
      <c r="F24" s="1716"/>
      <c r="G24" s="1074">
        <v>55000000</v>
      </c>
      <c r="H24" s="1073" t="s">
        <v>5</v>
      </c>
      <c r="I24" s="1073" t="s">
        <v>6</v>
      </c>
      <c r="J24" s="1072"/>
      <c r="K24" s="1072"/>
      <c r="L24" s="1075" t="s">
        <v>79</v>
      </c>
      <c r="M24" s="1074">
        <v>55000000</v>
      </c>
      <c r="N24" s="1076" t="s">
        <v>14</v>
      </c>
      <c r="O24" s="1070"/>
      <c r="P24" s="205" t="s">
        <v>14</v>
      </c>
      <c r="Q24" s="1070" t="s">
        <v>2015</v>
      </c>
      <c r="R24" s="205"/>
      <c r="S24" s="1070"/>
      <c r="T24" s="205" t="s">
        <v>14</v>
      </c>
      <c r="U24" s="1079" t="s">
        <v>2020</v>
      </c>
    </row>
    <row r="25" spans="2:21" ht="72">
      <c r="B25" s="1717"/>
      <c r="C25" s="1080">
        <v>50000000</v>
      </c>
      <c r="D25" s="1072" t="s">
        <v>174</v>
      </c>
      <c r="E25" s="1073" t="s">
        <v>37</v>
      </c>
      <c r="F25" s="1717"/>
      <c r="G25" s="1074">
        <v>50000000</v>
      </c>
      <c r="H25" s="1073" t="s">
        <v>5</v>
      </c>
      <c r="I25" s="719" t="s">
        <v>6</v>
      </c>
      <c r="J25" s="713"/>
      <c r="K25" s="713"/>
      <c r="L25" s="1081" t="s">
        <v>79</v>
      </c>
      <c r="M25" s="1074">
        <v>50000000</v>
      </c>
      <c r="N25" s="1076" t="s">
        <v>37</v>
      </c>
      <c r="O25" s="1082" t="s">
        <v>545</v>
      </c>
      <c r="P25" s="205" t="s">
        <v>14</v>
      </c>
      <c r="Q25" s="1082" t="s">
        <v>2015</v>
      </c>
      <c r="R25" s="205"/>
      <c r="S25" s="1082"/>
      <c r="T25" s="205" t="s">
        <v>14</v>
      </c>
      <c r="U25" s="1082" t="s">
        <v>2019</v>
      </c>
    </row>
    <row r="26" spans="2:21">
      <c r="B26" s="1022"/>
      <c r="C26" s="210"/>
      <c r="D26" s="106"/>
      <c r="E26" s="109"/>
      <c r="F26" s="1022"/>
      <c r="G26" s="211"/>
      <c r="H26" s="193"/>
      <c r="I26" s="212"/>
      <c r="J26" s="24"/>
      <c r="K26" s="24"/>
      <c r="L26" s="213"/>
      <c r="M26" s="214"/>
      <c r="N26" s="200"/>
      <c r="O26" s="200"/>
      <c r="P26" s="205"/>
      <c r="Q26" s="200"/>
      <c r="R26" s="205"/>
      <c r="S26" s="200"/>
      <c r="T26" s="205"/>
      <c r="U26" s="200"/>
    </row>
    <row r="27" spans="2:21" ht="22.5">
      <c r="B27" s="196" t="s">
        <v>59</v>
      </c>
      <c r="C27" s="197">
        <f>SUM(C28:C31)</f>
        <v>379900000</v>
      </c>
      <c r="D27" s="207"/>
      <c r="E27" s="109" t="s">
        <v>37</v>
      </c>
      <c r="F27" s="208"/>
      <c r="G27" s="209">
        <f>SUM(G28:G31)</f>
        <v>379900000</v>
      </c>
      <c r="H27" s="193"/>
      <c r="I27" s="124"/>
      <c r="J27" s="124"/>
      <c r="K27" s="124"/>
      <c r="L27" s="124"/>
      <c r="M27" s="209">
        <f>SUM(M28:M31)</f>
        <v>55000000</v>
      </c>
      <c r="N27" s="200"/>
      <c r="O27" s="200"/>
      <c r="P27" s="205"/>
      <c r="Q27" s="200"/>
      <c r="R27" s="205"/>
      <c r="S27" s="200"/>
      <c r="T27" s="205"/>
      <c r="U27" s="200"/>
    </row>
    <row r="28" spans="2:21" ht="36">
      <c r="B28" s="41" t="s">
        <v>60</v>
      </c>
      <c r="C28" s="215">
        <v>0</v>
      </c>
      <c r="D28" s="216" t="s">
        <v>0</v>
      </c>
      <c r="E28" s="109" t="s">
        <v>37</v>
      </c>
      <c r="F28" s="41" t="s">
        <v>546</v>
      </c>
      <c r="G28" s="215">
        <v>0</v>
      </c>
      <c r="H28" s="193" t="s">
        <v>5</v>
      </c>
      <c r="I28" s="193" t="s">
        <v>5</v>
      </c>
      <c r="J28" s="24"/>
      <c r="K28" s="24"/>
      <c r="L28" s="193" t="s">
        <v>5</v>
      </c>
      <c r="M28" s="217">
        <v>5000000</v>
      </c>
      <c r="N28" s="200" t="s">
        <v>37</v>
      </c>
      <c r="O28" s="1083" t="s">
        <v>547</v>
      </c>
      <c r="P28" s="205"/>
      <c r="Q28" s="1083"/>
      <c r="R28" s="205"/>
      <c r="S28" s="1083"/>
      <c r="T28" s="205"/>
      <c r="U28" s="1083"/>
    </row>
    <row r="29" spans="2:21" ht="36">
      <c r="B29" s="21" t="s">
        <v>61</v>
      </c>
      <c r="C29" s="215">
        <v>49900000</v>
      </c>
      <c r="D29" s="216" t="s">
        <v>0</v>
      </c>
      <c r="E29" s="109" t="s">
        <v>37</v>
      </c>
      <c r="F29" s="21" t="s">
        <v>548</v>
      </c>
      <c r="G29" s="215">
        <v>49900000</v>
      </c>
      <c r="H29" s="193" t="s">
        <v>36</v>
      </c>
      <c r="I29" s="193" t="s">
        <v>69</v>
      </c>
      <c r="J29" s="24"/>
      <c r="K29" s="24"/>
      <c r="L29" s="193" t="s">
        <v>89</v>
      </c>
      <c r="M29" s="217">
        <v>50000000</v>
      </c>
      <c r="N29" s="200"/>
      <c r="O29" s="200"/>
      <c r="P29" s="205"/>
      <c r="Q29" s="1083" t="s">
        <v>2021</v>
      </c>
      <c r="R29" s="205"/>
      <c r="S29" s="1083" t="s">
        <v>2022</v>
      </c>
      <c r="T29" s="205" t="s">
        <v>14</v>
      </c>
      <c r="U29" s="1083" t="s">
        <v>2023</v>
      </c>
    </row>
    <row r="30" spans="2:21" ht="60">
      <c r="B30" s="21" t="s">
        <v>62</v>
      </c>
      <c r="C30" s="215">
        <v>300000000</v>
      </c>
      <c r="D30" s="216" t="s">
        <v>0</v>
      </c>
      <c r="E30" s="109" t="s">
        <v>37</v>
      </c>
      <c r="F30" s="21" t="s">
        <v>549</v>
      </c>
      <c r="G30" s="215">
        <v>300000000</v>
      </c>
      <c r="H30" s="193" t="s">
        <v>4</v>
      </c>
      <c r="I30" s="193" t="s">
        <v>6</v>
      </c>
      <c r="J30" s="24"/>
      <c r="K30" s="24"/>
      <c r="L30" s="193" t="s">
        <v>89</v>
      </c>
      <c r="M30" s="41" t="s">
        <v>550</v>
      </c>
      <c r="N30" s="177" t="s">
        <v>14</v>
      </c>
      <c r="O30" s="1082" t="s">
        <v>551</v>
      </c>
      <c r="P30" s="205" t="s">
        <v>14</v>
      </c>
      <c r="Q30" s="1082" t="s">
        <v>2015</v>
      </c>
      <c r="R30" s="205"/>
      <c r="S30" s="1082"/>
      <c r="T30" s="205"/>
      <c r="U30" s="1082"/>
    </row>
    <row r="31" spans="2:21" ht="56.25">
      <c r="B31" s="21" t="s">
        <v>63</v>
      </c>
      <c r="C31" s="215">
        <v>30000000</v>
      </c>
      <c r="D31" s="216" t="s">
        <v>0</v>
      </c>
      <c r="E31" s="109" t="s">
        <v>37</v>
      </c>
      <c r="F31" s="21" t="s">
        <v>552</v>
      </c>
      <c r="G31" s="215">
        <v>30000000</v>
      </c>
      <c r="H31" s="193" t="s">
        <v>36</v>
      </c>
      <c r="I31" s="193" t="s">
        <v>69</v>
      </c>
      <c r="J31" s="24"/>
      <c r="K31" s="24"/>
      <c r="L31" s="193" t="s">
        <v>89</v>
      </c>
      <c r="M31" s="218"/>
      <c r="N31" s="200"/>
      <c r="O31" s="200"/>
      <c r="P31" s="205" t="s">
        <v>37</v>
      </c>
      <c r="Q31" s="1083" t="s">
        <v>2024</v>
      </c>
      <c r="R31" s="205"/>
      <c r="S31" s="1083"/>
      <c r="T31" s="205"/>
      <c r="U31" s="1083"/>
    </row>
    <row r="32" spans="2:21" ht="56.25">
      <c r="B32" s="196" t="s">
        <v>41</v>
      </c>
      <c r="C32" s="197">
        <f>SUM(C33:C38)</f>
        <v>41358000</v>
      </c>
      <c r="D32" s="207"/>
      <c r="E32" s="109" t="s">
        <v>37</v>
      </c>
      <c r="F32" s="208"/>
      <c r="G32" s="209">
        <f>SUM(G33:G38)</f>
        <v>41358000</v>
      </c>
      <c r="H32" s="193"/>
      <c r="I32" s="212"/>
      <c r="J32" s="24"/>
      <c r="K32" s="24"/>
      <c r="L32" s="212"/>
      <c r="M32" s="219"/>
      <c r="N32" s="200"/>
      <c r="O32" s="200"/>
      <c r="P32" s="205"/>
      <c r="Q32" s="200"/>
      <c r="R32" s="205"/>
      <c r="S32" s="200"/>
      <c r="T32" s="205"/>
      <c r="U32" s="200"/>
    </row>
    <row r="33" spans="2:21" ht="22.5">
      <c r="B33" s="220"/>
      <c r="C33" s="40">
        <v>29558000</v>
      </c>
      <c r="D33" s="216" t="s">
        <v>0</v>
      </c>
      <c r="E33" s="109" t="s">
        <v>37</v>
      </c>
      <c r="F33" s="1718" t="s">
        <v>553</v>
      </c>
      <c r="G33" s="40">
        <v>29558000</v>
      </c>
      <c r="H33" s="193" t="s">
        <v>50</v>
      </c>
      <c r="I33" s="193" t="s">
        <v>50</v>
      </c>
      <c r="J33" s="24"/>
      <c r="K33" s="24"/>
      <c r="L33" s="193" t="s">
        <v>554</v>
      </c>
      <c r="M33" s="218" t="s">
        <v>555</v>
      </c>
      <c r="N33" s="205" t="s">
        <v>14</v>
      </c>
      <c r="O33" s="1084" t="s">
        <v>556</v>
      </c>
      <c r="P33" s="205" t="s">
        <v>37</v>
      </c>
      <c r="Q33" s="1084" t="s">
        <v>2025</v>
      </c>
      <c r="R33" s="205" t="s">
        <v>37</v>
      </c>
      <c r="S33" s="1085" t="s">
        <v>2026</v>
      </c>
      <c r="T33" s="205" t="s">
        <v>14</v>
      </c>
      <c r="U33" s="1085" t="s">
        <v>2027</v>
      </c>
    </row>
    <row r="34" spans="2:21">
      <c r="B34" s="220"/>
      <c r="C34" s="40">
        <v>2500000</v>
      </c>
      <c r="D34" s="216" t="s">
        <v>263</v>
      </c>
      <c r="E34" s="109" t="s">
        <v>37</v>
      </c>
      <c r="F34" s="1719"/>
      <c r="G34" s="40">
        <v>2500000</v>
      </c>
      <c r="H34" s="193" t="s">
        <v>50</v>
      </c>
      <c r="I34" s="193" t="s">
        <v>50</v>
      </c>
      <c r="J34" s="24"/>
      <c r="K34" s="24"/>
      <c r="L34" s="193" t="s">
        <v>554</v>
      </c>
      <c r="M34" s="218" t="s">
        <v>555</v>
      </c>
      <c r="N34" s="200"/>
      <c r="O34" s="200"/>
      <c r="P34" s="205" t="s">
        <v>37</v>
      </c>
      <c r="Q34" s="1086" t="s">
        <v>2026</v>
      </c>
      <c r="R34" s="205"/>
      <c r="S34" s="1086"/>
      <c r="T34" s="205" t="s">
        <v>14</v>
      </c>
      <c r="U34" s="1085" t="s">
        <v>2027</v>
      </c>
    </row>
    <row r="35" spans="2:21">
      <c r="B35" s="220"/>
      <c r="C35" s="40">
        <v>2500000</v>
      </c>
      <c r="D35" s="216" t="s">
        <v>274</v>
      </c>
      <c r="E35" s="109" t="s">
        <v>37</v>
      </c>
      <c r="F35" s="1719"/>
      <c r="G35" s="40">
        <v>2500000</v>
      </c>
      <c r="H35" s="193" t="s">
        <v>50</v>
      </c>
      <c r="I35" s="193" t="s">
        <v>50</v>
      </c>
      <c r="J35" s="24"/>
      <c r="K35" s="24"/>
      <c r="L35" s="193" t="s">
        <v>554</v>
      </c>
      <c r="M35" s="218" t="s">
        <v>555</v>
      </c>
      <c r="N35" s="200"/>
      <c r="O35" s="200"/>
      <c r="P35" s="205" t="s">
        <v>14</v>
      </c>
      <c r="Q35" s="1086" t="s">
        <v>2028</v>
      </c>
      <c r="R35" s="205"/>
      <c r="S35" s="1086"/>
      <c r="T35" s="205"/>
      <c r="U35" s="1086"/>
    </row>
    <row r="36" spans="2:21">
      <c r="B36" s="220"/>
      <c r="C36" s="40">
        <v>3500000</v>
      </c>
      <c r="D36" s="216" t="s">
        <v>265</v>
      </c>
      <c r="E36" s="109" t="s">
        <v>37</v>
      </c>
      <c r="F36" s="1719"/>
      <c r="G36" s="40">
        <v>3500000</v>
      </c>
      <c r="H36" s="193" t="s">
        <v>50</v>
      </c>
      <c r="I36" s="193" t="s">
        <v>50</v>
      </c>
      <c r="J36" s="24"/>
      <c r="K36" s="24"/>
      <c r="L36" s="193" t="s">
        <v>554</v>
      </c>
      <c r="M36" s="218" t="s">
        <v>555</v>
      </c>
      <c r="N36" s="200"/>
      <c r="O36" s="200"/>
      <c r="P36" s="205" t="s">
        <v>14</v>
      </c>
      <c r="Q36" s="1086" t="s">
        <v>2028</v>
      </c>
      <c r="R36" s="205"/>
      <c r="S36" s="1086"/>
      <c r="T36" s="205"/>
      <c r="U36" s="1086"/>
    </row>
    <row r="37" spans="2:21" ht="22.5">
      <c r="B37" s="220"/>
      <c r="C37" s="40">
        <v>1800000</v>
      </c>
      <c r="D37" s="216" t="s">
        <v>266</v>
      </c>
      <c r="E37" s="109" t="s">
        <v>37</v>
      </c>
      <c r="F37" s="1719"/>
      <c r="G37" s="40">
        <v>1800000</v>
      </c>
      <c r="H37" s="193" t="s">
        <v>50</v>
      </c>
      <c r="I37" s="193" t="s">
        <v>50</v>
      </c>
      <c r="J37" s="24"/>
      <c r="K37" s="24"/>
      <c r="L37" s="193" t="s">
        <v>554</v>
      </c>
      <c r="M37" s="218" t="s">
        <v>555</v>
      </c>
      <c r="N37" s="200"/>
      <c r="O37" s="200"/>
      <c r="P37" s="205" t="s">
        <v>14</v>
      </c>
      <c r="Q37" s="1086" t="s">
        <v>2028</v>
      </c>
      <c r="R37" s="205"/>
      <c r="S37" s="1086"/>
      <c r="T37" s="205"/>
      <c r="U37" s="1086"/>
    </row>
    <row r="38" spans="2:21">
      <c r="B38" s="220"/>
      <c r="C38" s="40">
        <v>1500000</v>
      </c>
      <c r="D38" s="216" t="s">
        <v>174</v>
      </c>
      <c r="E38" s="109" t="s">
        <v>37</v>
      </c>
      <c r="F38" s="1720"/>
      <c r="G38" s="40">
        <v>1500000</v>
      </c>
      <c r="H38" s="193" t="s">
        <v>50</v>
      </c>
      <c r="I38" s="193" t="s">
        <v>50</v>
      </c>
      <c r="J38" s="24"/>
      <c r="K38" s="24"/>
      <c r="L38" s="193" t="s">
        <v>554</v>
      </c>
      <c r="M38" s="218" t="s">
        <v>555</v>
      </c>
      <c r="N38" s="200"/>
      <c r="O38" s="200"/>
      <c r="P38" s="205" t="s">
        <v>14</v>
      </c>
      <c r="Q38" s="1086" t="s">
        <v>2028</v>
      </c>
      <c r="R38" s="205"/>
      <c r="S38" s="1086"/>
      <c r="T38" s="205"/>
      <c r="U38" s="1086"/>
    </row>
    <row r="39" spans="2:21" ht="22.5">
      <c r="B39" s="196" t="s">
        <v>42</v>
      </c>
      <c r="C39" s="197">
        <f>SUM(C40:C45)</f>
        <v>35000000</v>
      </c>
      <c r="D39" s="216"/>
      <c r="E39" s="109" t="s">
        <v>37</v>
      </c>
      <c r="F39" s="208"/>
      <c r="G39" s="209">
        <f>SUM(G40:G45)</f>
        <v>35000000</v>
      </c>
      <c r="H39" s="193"/>
      <c r="I39" s="193"/>
      <c r="J39" s="24"/>
      <c r="K39" s="24"/>
      <c r="L39" s="193"/>
      <c r="M39" s="218"/>
      <c r="N39" s="200"/>
      <c r="O39" s="200"/>
      <c r="P39" s="205"/>
      <c r="Q39" s="200"/>
      <c r="R39" s="205"/>
      <c r="S39" s="200"/>
      <c r="T39" s="205"/>
      <c r="U39" s="200"/>
    </row>
    <row r="40" spans="2:21" ht="22.5">
      <c r="B40" s="220"/>
      <c r="C40" s="40">
        <v>25000000</v>
      </c>
      <c r="D40" s="216" t="s">
        <v>0</v>
      </c>
      <c r="E40" s="109" t="s">
        <v>37</v>
      </c>
      <c r="F40" s="1718" t="s">
        <v>557</v>
      </c>
      <c r="G40" s="40">
        <v>25000000</v>
      </c>
      <c r="H40" s="193" t="s">
        <v>50</v>
      </c>
      <c r="I40" s="193" t="s">
        <v>50</v>
      </c>
      <c r="J40" s="24"/>
      <c r="K40" s="24"/>
      <c r="L40" s="193" t="s">
        <v>554</v>
      </c>
      <c r="M40" s="218" t="s">
        <v>558</v>
      </c>
      <c r="N40" s="200"/>
      <c r="O40" s="1084" t="s">
        <v>559</v>
      </c>
      <c r="P40" s="205" t="s">
        <v>14</v>
      </c>
      <c r="Q40" s="1084" t="s">
        <v>2029</v>
      </c>
      <c r="R40" s="205" t="s">
        <v>14</v>
      </c>
      <c r="S40" s="1087" t="s">
        <v>2030</v>
      </c>
      <c r="T40" s="205" t="s">
        <v>14</v>
      </c>
      <c r="U40" s="1085" t="s">
        <v>2027</v>
      </c>
    </row>
    <row r="41" spans="2:21" s="42" customFormat="1">
      <c r="B41" s="220"/>
      <c r="C41" s="40">
        <v>2000000</v>
      </c>
      <c r="D41" s="216" t="s">
        <v>263</v>
      </c>
      <c r="E41" s="1069" t="s">
        <v>37</v>
      </c>
      <c r="F41" s="1719"/>
      <c r="G41" s="40">
        <v>2000000</v>
      </c>
      <c r="H41" s="221" t="s">
        <v>50</v>
      </c>
      <c r="I41" s="221" t="s">
        <v>50</v>
      </c>
      <c r="J41" s="222"/>
      <c r="K41" s="222"/>
      <c r="L41" s="221" t="s">
        <v>554</v>
      </c>
      <c r="M41" s="1088" t="s">
        <v>558</v>
      </c>
      <c r="N41" s="1070"/>
      <c r="O41" s="1070"/>
      <c r="P41" s="1077" t="s">
        <v>14</v>
      </c>
      <c r="Q41" s="1089" t="s">
        <v>2026</v>
      </c>
      <c r="R41" s="1077" t="s">
        <v>14</v>
      </c>
      <c r="S41" s="1089" t="s">
        <v>2031</v>
      </c>
      <c r="T41" s="1077" t="s">
        <v>14</v>
      </c>
      <c r="U41" s="1085" t="s">
        <v>2027</v>
      </c>
    </row>
    <row r="42" spans="2:21">
      <c r="B42" s="220"/>
      <c r="C42" s="40">
        <v>2000000</v>
      </c>
      <c r="D42" s="216" t="s">
        <v>274</v>
      </c>
      <c r="E42" s="109" t="s">
        <v>37</v>
      </c>
      <c r="F42" s="1719"/>
      <c r="G42" s="40">
        <v>2000000</v>
      </c>
      <c r="H42" s="193" t="s">
        <v>50</v>
      </c>
      <c r="I42" s="193" t="s">
        <v>50</v>
      </c>
      <c r="J42" s="24"/>
      <c r="K42" s="24"/>
      <c r="L42" s="193" t="s">
        <v>554</v>
      </c>
      <c r="M42" s="218" t="s">
        <v>558</v>
      </c>
      <c r="N42" s="200"/>
      <c r="O42" s="200"/>
      <c r="P42" s="205" t="s">
        <v>14</v>
      </c>
      <c r="Q42" s="1084" t="s">
        <v>2029</v>
      </c>
      <c r="R42" s="205"/>
      <c r="S42" s="1086"/>
      <c r="T42" s="1077" t="s">
        <v>14</v>
      </c>
      <c r="U42" s="1085" t="s">
        <v>2027</v>
      </c>
    </row>
    <row r="43" spans="2:21">
      <c r="B43" s="220"/>
      <c r="C43" s="40">
        <v>2000000</v>
      </c>
      <c r="D43" s="216" t="s">
        <v>265</v>
      </c>
      <c r="E43" s="109" t="s">
        <v>37</v>
      </c>
      <c r="F43" s="1719"/>
      <c r="G43" s="40">
        <v>2000000</v>
      </c>
      <c r="H43" s="193" t="s">
        <v>50</v>
      </c>
      <c r="I43" s="193" t="s">
        <v>50</v>
      </c>
      <c r="J43" s="24"/>
      <c r="K43" s="24"/>
      <c r="L43" s="193" t="s">
        <v>554</v>
      </c>
      <c r="M43" s="218" t="s">
        <v>558</v>
      </c>
      <c r="N43" s="200"/>
      <c r="O43" s="200"/>
      <c r="P43" s="205" t="s">
        <v>14</v>
      </c>
      <c r="Q43" s="1084" t="s">
        <v>2029</v>
      </c>
      <c r="R43" s="205"/>
      <c r="S43" s="1086"/>
      <c r="T43" s="1077" t="s">
        <v>14</v>
      </c>
      <c r="U43" s="1085" t="s">
        <v>2027</v>
      </c>
    </row>
    <row r="44" spans="2:21">
      <c r="B44" s="220"/>
      <c r="C44" s="40">
        <v>2000000</v>
      </c>
      <c r="D44" s="216" t="s">
        <v>560</v>
      </c>
      <c r="E44" s="109" t="s">
        <v>37</v>
      </c>
      <c r="F44" s="1719"/>
      <c r="G44" s="40">
        <v>2000000</v>
      </c>
      <c r="H44" s="193" t="s">
        <v>50</v>
      </c>
      <c r="I44" s="193" t="s">
        <v>50</v>
      </c>
      <c r="J44" s="24"/>
      <c r="K44" s="24"/>
      <c r="L44" s="193" t="s">
        <v>554</v>
      </c>
      <c r="M44" s="218" t="s">
        <v>558</v>
      </c>
      <c r="N44" s="200"/>
      <c r="O44" s="200"/>
      <c r="P44" s="205" t="s">
        <v>14</v>
      </c>
      <c r="Q44" s="1084" t="s">
        <v>2029</v>
      </c>
      <c r="R44" s="205"/>
      <c r="S44" s="1086"/>
      <c r="T44" s="1077" t="s">
        <v>14</v>
      </c>
      <c r="U44" s="1085" t="s">
        <v>2027</v>
      </c>
    </row>
    <row r="45" spans="2:21">
      <c r="B45" s="220"/>
      <c r="C45" s="40">
        <v>2000000</v>
      </c>
      <c r="D45" s="216" t="s">
        <v>174</v>
      </c>
      <c r="E45" s="109" t="s">
        <v>37</v>
      </c>
      <c r="F45" s="1720"/>
      <c r="G45" s="40">
        <v>2000000</v>
      </c>
      <c r="H45" s="193" t="s">
        <v>50</v>
      </c>
      <c r="I45" s="193" t="s">
        <v>50</v>
      </c>
      <c r="J45" s="24"/>
      <c r="K45" s="24"/>
      <c r="L45" s="193" t="s">
        <v>554</v>
      </c>
      <c r="M45" s="218" t="s">
        <v>558</v>
      </c>
      <c r="N45" s="200"/>
      <c r="O45" s="200"/>
      <c r="P45" s="205" t="s">
        <v>14</v>
      </c>
      <c r="Q45" s="1084" t="s">
        <v>2029</v>
      </c>
      <c r="R45" s="205"/>
      <c r="S45" s="1086"/>
      <c r="T45" s="1077" t="s">
        <v>14</v>
      </c>
      <c r="U45" s="1085" t="s">
        <v>2027</v>
      </c>
    </row>
    <row r="46" spans="2:21" ht="45">
      <c r="B46" s="196" t="s">
        <v>44</v>
      </c>
      <c r="C46" s="197">
        <v>0</v>
      </c>
      <c r="D46" s="198"/>
      <c r="E46" s="109" t="s">
        <v>37</v>
      </c>
      <c r="F46" s="208"/>
      <c r="G46" s="209">
        <v>0</v>
      </c>
      <c r="H46" s="221"/>
      <c r="I46" s="222"/>
      <c r="J46" s="222"/>
      <c r="K46" s="222"/>
      <c r="L46" s="222"/>
      <c r="M46" s="223"/>
      <c r="N46" s="200"/>
      <c r="O46" s="200"/>
      <c r="P46" s="205"/>
      <c r="Q46" s="200"/>
      <c r="R46" s="205"/>
      <c r="S46" s="200"/>
      <c r="T46" s="205"/>
      <c r="U46" s="200"/>
    </row>
    <row r="47" spans="2:21" ht="15.75">
      <c r="B47" s="196" t="s">
        <v>45</v>
      </c>
      <c r="C47" s="197">
        <v>0</v>
      </c>
      <c r="D47" s="198"/>
      <c r="E47" s="109" t="s">
        <v>37</v>
      </c>
      <c r="F47" s="208"/>
      <c r="G47" s="209">
        <v>0</v>
      </c>
      <c r="H47" s="221"/>
      <c r="I47" s="222"/>
      <c r="J47" s="222"/>
      <c r="K47" s="222"/>
      <c r="L47" s="222"/>
      <c r="M47" s="223"/>
      <c r="N47" s="200"/>
      <c r="O47" s="200"/>
      <c r="P47" s="205"/>
      <c r="Q47" s="200"/>
      <c r="R47" s="205"/>
      <c r="S47" s="200"/>
      <c r="T47" s="205"/>
      <c r="U47" s="200"/>
    </row>
    <row r="48" spans="2:21" ht="36">
      <c r="B48" s="196" t="s">
        <v>46</v>
      </c>
      <c r="C48" s="197">
        <v>0</v>
      </c>
      <c r="D48" s="106" t="s">
        <v>0</v>
      </c>
      <c r="E48" s="109" t="s">
        <v>37</v>
      </c>
      <c r="F48" s="224" t="s">
        <v>561</v>
      </c>
      <c r="G48" s="209">
        <v>0</v>
      </c>
      <c r="H48" s="221" t="s">
        <v>91</v>
      </c>
      <c r="I48" s="56" t="s">
        <v>70</v>
      </c>
      <c r="J48" s="222"/>
      <c r="K48" s="222"/>
      <c r="L48" s="225" t="s">
        <v>90</v>
      </c>
      <c r="M48" s="226">
        <v>4500000</v>
      </c>
      <c r="N48" s="200"/>
      <c r="O48" s="1083" t="s">
        <v>547</v>
      </c>
      <c r="P48" s="205"/>
      <c r="Q48" s="1083"/>
      <c r="R48" s="205"/>
      <c r="S48" s="1083"/>
      <c r="T48" s="205"/>
      <c r="U48" s="1083"/>
    </row>
    <row r="49" spans="2:21" ht="36">
      <c r="B49" s="196" t="s">
        <v>64</v>
      </c>
      <c r="C49" s="197">
        <v>0</v>
      </c>
      <c r="D49" s="106" t="s">
        <v>0</v>
      </c>
      <c r="E49" s="109" t="s">
        <v>37</v>
      </c>
      <c r="F49" s="208" t="s">
        <v>64</v>
      </c>
      <c r="G49" s="209">
        <v>0</v>
      </c>
      <c r="H49" s="221"/>
      <c r="I49" s="222"/>
      <c r="J49" s="222"/>
      <c r="K49" s="222"/>
      <c r="L49" s="222"/>
      <c r="M49" s="223"/>
      <c r="N49" s="200"/>
      <c r="O49" s="1083" t="s">
        <v>547</v>
      </c>
      <c r="P49" s="205"/>
      <c r="Q49" s="1083"/>
      <c r="R49" s="205"/>
      <c r="S49" s="1083"/>
      <c r="T49" s="205"/>
      <c r="U49" s="1083"/>
    </row>
    <row r="50" spans="2:21" ht="56.25">
      <c r="B50" s="196" t="s">
        <v>562</v>
      </c>
      <c r="C50" s="197">
        <v>411402000</v>
      </c>
      <c r="D50" s="106" t="s">
        <v>0</v>
      </c>
      <c r="E50" s="109" t="s">
        <v>37</v>
      </c>
      <c r="F50" s="227" t="s">
        <v>563</v>
      </c>
      <c r="G50" s="209">
        <v>411402000</v>
      </c>
      <c r="H50" s="221" t="s">
        <v>4</v>
      </c>
      <c r="I50" s="56" t="s">
        <v>6</v>
      </c>
      <c r="J50" s="222"/>
      <c r="K50" s="222"/>
      <c r="L50" s="56" t="s">
        <v>6</v>
      </c>
      <c r="M50" s="21" t="s">
        <v>564</v>
      </c>
      <c r="N50" s="200"/>
      <c r="O50" s="1084" t="s">
        <v>565</v>
      </c>
      <c r="P50" s="205" t="s">
        <v>14</v>
      </c>
      <c r="Q50" s="1083" t="s">
        <v>2032</v>
      </c>
      <c r="R50" s="205" t="s">
        <v>14</v>
      </c>
      <c r="S50" s="1083" t="s">
        <v>2033</v>
      </c>
      <c r="T50" s="205" t="s">
        <v>37</v>
      </c>
      <c r="U50" s="1083" t="s">
        <v>2034</v>
      </c>
    </row>
  </sheetData>
  <protectedRanges>
    <protectedRange sqref="G8:G9 G42:H42 G20 G13" name="Rango1"/>
    <protectedRange sqref="G39:G41" name="Rango1_2"/>
    <protectedRange sqref="G15:G19" name="Rango1_3"/>
    <protectedRange sqref="H8:H9 H15:H20 H13" name="Rango1_1"/>
    <protectedRange sqref="H39:H41" name="Rango1_2_1"/>
    <protectedRange sqref="I8:I9 I20 I13" name="Rango1_4"/>
    <protectedRange sqref="J8:K9 J20:K20 J13:K13" name="Rango1_5"/>
    <protectedRange sqref="J14:K19" name="Rango1_1_2"/>
    <protectedRange sqref="J39:J40" name="Rango1_2_3"/>
    <protectedRange sqref="G10:G12" name="Rango1_6"/>
    <protectedRange sqref="H10:H12" name="Rango1_1_3"/>
    <protectedRange sqref="I10:I12" name="Rango1_4_1"/>
    <protectedRange sqref="J10:K12" name="Rango1_5_1"/>
    <protectedRange sqref="G21:G24" name="Rango1_7"/>
    <protectedRange sqref="H21:H24" name="Rango1_1_4"/>
    <protectedRange sqref="I21:I24 I26:I31 I33:I41 I14:I19" name="Rango1_4_2"/>
    <protectedRange sqref="J21:K24" name="Rango1_5_2"/>
    <protectedRange sqref="G25:G38" name="Rango1_8"/>
    <protectedRange sqref="H25:H38" name="Rango1_1_5"/>
    <protectedRange sqref="I25 I32" name="Rango1_4_3"/>
    <protectedRange sqref="K39:K41 J25:K38" name="Rango1_5_3"/>
  </protectedRanges>
  <mergeCells count="45">
    <mergeCell ref="A2:S2"/>
    <mergeCell ref="J3:O3"/>
    <mergeCell ref="R4:S4"/>
    <mergeCell ref="F40:F45"/>
    <mergeCell ref="F4:F6"/>
    <mergeCell ref="G4:G6"/>
    <mergeCell ref="H4:H6"/>
    <mergeCell ref="N5:N6"/>
    <mergeCell ref="J4:M4"/>
    <mergeCell ref="F33:F38"/>
    <mergeCell ref="I4:I6"/>
    <mergeCell ref="N4:O4"/>
    <mergeCell ref="J5:K5"/>
    <mergeCell ref="L5:M5"/>
    <mergeCell ref="D4:D6"/>
    <mergeCell ref="B11:B25"/>
    <mergeCell ref="F11:F25"/>
    <mergeCell ref="E4:E5"/>
    <mergeCell ref="P4:Q4"/>
    <mergeCell ref="P5:P6"/>
    <mergeCell ref="Q5:Q6"/>
    <mergeCell ref="O5:O6"/>
    <mergeCell ref="Q11:Q15"/>
    <mergeCell ref="Q18:Q20"/>
    <mergeCell ref="B4:B6"/>
    <mergeCell ref="C4:C6"/>
    <mergeCell ref="T4:U4"/>
    <mergeCell ref="R5:R6"/>
    <mergeCell ref="S5:S6"/>
    <mergeCell ref="T5:T6"/>
    <mergeCell ref="U5:U6"/>
    <mergeCell ref="S11:S15"/>
    <mergeCell ref="T11:T15"/>
    <mergeCell ref="U11:U15"/>
    <mergeCell ref="Q16:Q17"/>
    <mergeCell ref="S16:S17"/>
    <mergeCell ref="T16:T17"/>
    <mergeCell ref="U16:U17"/>
    <mergeCell ref="S18:S20"/>
    <mergeCell ref="T18:T20"/>
    <mergeCell ref="U18:U20"/>
    <mergeCell ref="Q21:Q23"/>
    <mergeCell ref="S21:S23"/>
    <mergeCell ref="T21:T23"/>
    <mergeCell ref="U21:U23"/>
  </mergeCells>
  <dataValidations count="1">
    <dataValidation allowBlank="1" showInputMessage="1" showErrorMessage="1" promptTitle="Unidad de Negocio" prompt="Nivel Central_x000a_Aeropuerto_x000a_Regional_x000a_" sqref="C9:C10 G27:G29 M10 C27:C29 M29 M27 G9:G10"/>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C2:X205"/>
  <sheetViews>
    <sheetView zoomScale="80" zoomScaleNormal="80" workbookViewId="0">
      <pane xSplit="3" ySplit="7" topLeftCell="P197" activePane="bottomRight" state="frozen"/>
      <selection pane="topRight" activeCell="D1" sqref="D1"/>
      <selection pane="bottomLeft" activeCell="A8" sqref="A8"/>
      <selection pane="bottomRight" activeCell="W201" sqref="W201"/>
    </sheetView>
  </sheetViews>
  <sheetFormatPr baseColWidth="10" defaultRowHeight="11.25"/>
  <cols>
    <col min="1" max="2" width="11.42578125" style="17"/>
    <col min="3" max="3" width="32.85546875" style="101" customWidth="1"/>
    <col min="4" max="4" width="30.28515625" style="101" customWidth="1"/>
    <col min="5" max="5" width="40" style="101" customWidth="1"/>
    <col min="6" max="6" width="20.85546875" style="101" customWidth="1"/>
    <col min="7" max="7" width="45.140625" style="101" customWidth="1"/>
    <col min="8" max="8" width="23.140625" style="101" customWidth="1"/>
    <col min="9" max="9" width="23" style="101" customWidth="1"/>
    <col min="10" max="10" width="20" style="17" customWidth="1"/>
    <col min="11" max="11" width="16.7109375" style="17" customWidth="1"/>
    <col min="12" max="12" width="16.28515625" style="17" customWidth="1"/>
    <col min="13" max="13" width="17.85546875" style="17" customWidth="1"/>
    <col min="14" max="14" width="19.28515625" style="17" customWidth="1"/>
    <col min="15" max="15" width="28" style="17" customWidth="1"/>
    <col min="16" max="16" width="29" style="17" customWidth="1"/>
    <col min="17" max="17" width="16.42578125" style="17" customWidth="1"/>
    <col min="18" max="18" width="28.7109375" style="17" customWidth="1"/>
    <col min="19" max="19" width="26.140625" style="17" customWidth="1"/>
    <col min="20" max="20" width="29.85546875" style="17" customWidth="1"/>
    <col min="21" max="21" width="22.5703125" style="17" customWidth="1"/>
    <col min="22" max="22" width="25.85546875" style="17" customWidth="1"/>
    <col min="23" max="23" width="11.42578125" style="1222"/>
    <col min="24" max="254" width="11.42578125" style="17"/>
    <col min="255" max="255" width="44.5703125" style="17" customWidth="1"/>
    <col min="256" max="256" width="28.42578125" style="17" customWidth="1"/>
    <col min="257" max="257" width="27" style="17" customWidth="1"/>
    <col min="258" max="258" width="20.42578125" style="17" customWidth="1"/>
    <col min="259" max="260" width="19" style="17" customWidth="1"/>
    <col min="261" max="261" width="12.42578125" style="17" customWidth="1"/>
    <col min="262" max="263" width="9.7109375" style="17" customWidth="1"/>
    <col min="264" max="264" width="10.140625" style="17" customWidth="1"/>
    <col min="265" max="265" width="24.140625" style="17" customWidth="1"/>
    <col min="266" max="266" width="35.140625" style="17" customWidth="1"/>
    <col min="267" max="510" width="11.42578125" style="17"/>
    <col min="511" max="511" width="44.5703125" style="17" customWidth="1"/>
    <col min="512" max="512" width="28.42578125" style="17" customWidth="1"/>
    <col min="513" max="513" width="27" style="17" customWidth="1"/>
    <col min="514" max="514" width="20.42578125" style="17" customWidth="1"/>
    <col min="515" max="516" width="19" style="17" customWidth="1"/>
    <col min="517" max="517" width="12.42578125" style="17" customWidth="1"/>
    <col min="518" max="519" width="9.7109375" style="17" customWidth="1"/>
    <col min="520" max="520" width="10.140625" style="17" customWidth="1"/>
    <col min="521" max="521" width="24.140625" style="17" customWidth="1"/>
    <col min="522" max="522" width="35.140625" style="17" customWidth="1"/>
    <col min="523" max="766" width="11.42578125" style="17"/>
    <col min="767" max="767" width="44.5703125" style="17" customWidth="1"/>
    <col min="768" max="768" width="28.42578125" style="17" customWidth="1"/>
    <col min="769" max="769" width="27" style="17" customWidth="1"/>
    <col min="770" max="770" width="20.42578125" style="17" customWidth="1"/>
    <col min="771" max="772" width="19" style="17" customWidth="1"/>
    <col min="773" max="773" width="12.42578125" style="17" customWidth="1"/>
    <col min="774" max="775" width="9.7109375" style="17" customWidth="1"/>
    <col min="776" max="776" width="10.140625" style="17" customWidth="1"/>
    <col min="777" max="777" width="24.140625" style="17" customWidth="1"/>
    <col min="778" max="778" width="35.140625" style="17" customWidth="1"/>
    <col min="779" max="1022" width="11.42578125" style="17"/>
    <col min="1023" max="1023" width="44.5703125" style="17" customWidth="1"/>
    <col min="1024" max="1024" width="28.42578125" style="17" customWidth="1"/>
    <col min="1025" max="1025" width="27" style="17" customWidth="1"/>
    <col min="1026" max="1026" width="20.42578125" style="17" customWidth="1"/>
    <col min="1027" max="1028" width="19" style="17" customWidth="1"/>
    <col min="1029" max="1029" width="12.42578125" style="17" customWidth="1"/>
    <col min="1030" max="1031" width="9.7109375" style="17" customWidth="1"/>
    <col min="1032" max="1032" width="10.140625" style="17" customWidth="1"/>
    <col min="1033" max="1033" width="24.140625" style="17" customWidth="1"/>
    <col min="1034" max="1034" width="35.140625" style="17" customWidth="1"/>
    <col min="1035" max="1278" width="11.42578125" style="17"/>
    <col min="1279" max="1279" width="44.5703125" style="17" customWidth="1"/>
    <col min="1280" max="1280" width="28.42578125" style="17" customWidth="1"/>
    <col min="1281" max="1281" width="27" style="17" customWidth="1"/>
    <col min="1282" max="1282" width="20.42578125" style="17" customWidth="1"/>
    <col min="1283" max="1284" width="19" style="17" customWidth="1"/>
    <col min="1285" max="1285" width="12.42578125" style="17" customWidth="1"/>
    <col min="1286" max="1287" width="9.7109375" style="17" customWidth="1"/>
    <col min="1288" max="1288" width="10.140625" style="17" customWidth="1"/>
    <col min="1289" max="1289" width="24.140625" style="17" customWidth="1"/>
    <col min="1290" max="1290" width="35.140625" style="17" customWidth="1"/>
    <col min="1291" max="1534" width="11.42578125" style="17"/>
    <col min="1535" max="1535" width="44.5703125" style="17" customWidth="1"/>
    <col min="1536" max="1536" width="28.42578125" style="17" customWidth="1"/>
    <col min="1537" max="1537" width="27" style="17" customWidth="1"/>
    <col min="1538" max="1538" width="20.42578125" style="17" customWidth="1"/>
    <col min="1539" max="1540" width="19" style="17" customWidth="1"/>
    <col min="1541" max="1541" width="12.42578125" style="17" customWidth="1"/>
    <col min="1542" max="1543" width="9.7109375" style="17" customWidth="1"/>
    <col min="1544" max="1544" width="10.140625" style="17" customWidth="1"/>
    <col min="1545" max="1545" width="24.140625" style="17" customWidth="1"/>
    <col min="1546" max="1546" width="35.140625" style="17" customWidth="1"/>
    <col min="1547" max="1790" width="11.42578125" style="17"/>
    <col min="1791" max="1791" width="44.5703125" style="17" customWidth="1"/>
    <col min="1792" max="1792" width="28.42578125" style="17" customWidth="1"/>
    <col min="1793" max="1793" width="27" style="17" customWidth="1"/>
    <col min="1794" max="1794" width="20.42578125" style="17" customWidth="1"/>
    <col min="1795" max="1796" width="19" style="17" customWidth="1"/>
    <col min="1797" max="1797" width="12.42578125" style="17" customWidth="1"/>
    <col min="1798" max="1799" width="9.7109375" style="17" customWidth="1"/>
    <col min="1800" max="1800" width="10.140625" style="17" customWidth="1"/>
    <col min="1801" max="1801" width="24.140625" style="17" customWidth="1"/>
    <col min="1802" max="1802" width="35.140625" style="17" customWidth="1"/>
    <col min="1803" max="2046" width="11.42578125" style="17"/>
    <col min="2047" max="2047" width="44.5703125" style="17" customWidth="1"/>
    <col min="2048" max="2048" width="28.42578125" style="17" customWidth="1"/>
    <col min="2049" max="2049" width="27" style="17" customWidth="1"/>
    <col min="2050" max="2050" width="20.42578125" style="17" customWidth="1"/>
    <col min="2051" max="2052" width="19" style="17" customWidth="1"/>
    <col min="2053" max="2053" width="12.42578125" style="17" customWidth="1"/>
    <col min="2054" max="2055" width="9.7109375" style="17" customWidth="1"/>
    <col min="2056" max="2056" width="10.140625" style="17" customWidth="1"/>
    <col min="2057" max="2057" width="24.140625" style="17" customWidth="1"/>
    <col min="2058" max="2058" width="35.140625" style="17" customWidth="1"/>
    <col min="2059" max="2302" width="11.42578125" style="17"/>
    <col min="2303" max="2303" width="44.5703125" style="17" customWidth="1"/>
    <col min="2304" max="2304" width="28.42578125" style="17" customWidth="1"/>
    <col min="2305" max="2305" width="27" style="17" customWidth="1"/>
    <col min="2306" max="2306" width="20.42578125" style="17" customWidth="1"/>
    <col min="2307" max="2308" width="19" style="17" customWidth="1"/>
    <col min="2309" max="2309" width="12.42578125" style="17" customWidth="1"/>
    <col min="2310" max="2311" width="9.7109375" style="17" customWidth="1"/>
    <col min="2312" max="2312" width="10.140625" style="17" customWidth="1"/>
    <col min="2313" max="2313" width="24.140625" style="17" customWidth="1"/>
    <col min="2314" max="2314" width="35.140625" style="17" customWidth="1"/>
    <col min="2315" max="2558" width="11.42578125" style="17"/>
    <col min="2559" max="2559" width="44.5703125" style="17" customWidth="1"/>
    <col min="2560" max="2560" width="28.42578125" style="17" customWidth="1"/>
    <col min="2561" max="2561" width="27" style="17" customWidth="1"/>
    <col min="2562" max="2562" width="20.42578125" style="17" customWidth="1"/>
    <col min="2563" max="2564" width="19" style="17" customWidth="1"/>
    <col min="2565" max="2565" width="12.42578125" style="17" customWidth="1"/>
    <col min="2566" max="2567" width="9.7109375" style="17" customWidth="1"/>
    <col min="2568" max="2568" width="10.140625" style="17" customWidth="1"/>
    <col min="2569" max="2569" width="24.140625" style="17" customWidth="1"/>
    <col min="2570" max="2570" width="35.140625" style="17" customWidth="1"/>
    <col min="2571" max="2814" width="11.42578125" style="17"/>
    <col min="2815" max="2815" width="44.5703125" style="17" customWidth="1"/>
    <col min="2816" max="2816" width="28.42578125" style="17" customWidth="1"/>
    <col min="2817" max="2817" width="27" style="17" customWidth="1"/>
    <col min="2818" max="2818" width="20.42578125" style="17" customWidth="1"/>
    <col min="2819" max="2820" width="19" style="17" customWidth="1"/>
    <col min="2821" max="2821" width="12.42578125" style="17" customWidth="1"/>
    <col min="2822" max="2823" width="9.7109375" style="17" customWidth="1"/>
    <col min="2824" max="2824" width="10.140625" style="17" customWidth="1"/>
    <col min="2825" max="2825" width="24.140625" style="17" customWidth="1"/>
    <col min="2826" max="2826" width="35.140625" style="17" customWidth="1"/>
    <col min="2827" max="3070" width="11.42578125" style="17"/>
    <col min="3071" max="3071" width="44.5703125" style="17" customWidth="1"/>
    <col min="3072" max="3072" width="28.42578125" style="17" customWidth="1"/>
    <col min="3073" max="3073" width="27" style="17" customWidth="1"/>
    <col min="3074" max="3074" width="20.42578125" style="17" customWidth="1"/>
    <col min="3075" max="3076" width="19" style="17" customWidth="1"/>
    <col min="3077" max="3077" width="12.42578125" style="17" customWidth="1"/>
    <col min="3078" max="3079" width="9.7109375" style="17" customWidth="1"/>
    <col min="3080" max="3080" width="10.140625" style="17" customWidth="1"/>
    <col min="3081" max="3081" width="24.140625" style="17" customWidth="1"/>
    <col min="3082" max="3082" width="35.140625" style="17" customWidth="1"/>
    <col min="3083" max="3326" width="11.42578125" style="17"/>
    <col min="3327" max="3327" width="44.5703125" style="17" customWidth="1"/>
    <col min="3328" max="3328" width="28.42578125" style="17" customWidth="1"/>
    <col min="3329" max="3329" width="27" style="17" customWidth="1"/>
    <col min="3330" max="3330" width="20.42578125" style="17" customWidth="1"/>
    <col min="3331" max="3332" width="19" style="17" customWidth="1"/>
    <col min="3333" max="3333" width="12.42578125" style="17" customWidth="1"/>
    <col min="3334" max="3335" width="9.7109375" style="17" customWidth="1"/>
    <col min="3336" max="3336" width="10.140625" style="17" customWidth="1"/>
    <col min="3337" max="3337" width="24.140625" style="17" customWidth="1"/>
    <col min="3338" max="3338" width="35.140625" style="17" customWidth="1"/>
    <col min="3339" max="3582" width="11.42578125" style="17"/>
    <col min="3583" max="3583" width="44.5703125" style="17" customWidth="1"/>
    <col min="3584" max="3584" width="28.42578125" style="17" customWidth="1"/>
    <col min="3585" max="3585" width="27" style="17" customWidth="1"/>
    <col min="3586" max="3586" width="20.42578125" style="17" customWidth="1"/>
    <col min="3587" max="3588" width="19" style="17" customWidth="1"/>
    <col min="3589" max="3589" width="12.42578125" style="17" customWidth="1"/>
    <col min="3590" max="3591" width="9.7109375" style="17" customWidth="1"/>
    <col min="3592" max="3592" width="10.140625" style="17" customWidth="1"/>
    <col min="3593" max="3593" width="24.140625" style="17" customWidth="1"/>
    <col min="3594" max="3594" width="35.140625" style="17" customWidth="1"/>
    <col min="3595" max="3838" width="11.42578125" style="17"/>
    <col min="3839" max="3839" width="44.5703125" style="17" customWidth="1"/>
    <col min="3840" max="3840" width="28.42578125" style="17" customWidth="1"/>
    <col min="3841" max="3841" width="27" style="17" customWidth="1"/>
    <col min="3842" max="3842" width="20.42578125" style="17" customWidth="1"/>
    <col min="3843" max="3844" width="19" style="17" customWidth="1"/>
    <col min="3845" max="3845" width="12.42578125" style="17" customWidth="1"/>
    <col min="3846" max="3847" width="9.7109375" style="17" customWidth="1"/>
    <col min="3848" max="3848" width="10.140625" style="17" customWidth="1"/>
    <col min="3849" max="3849" width="24.140625" style="17" customWidth="1"/>
    <col min="3850" max="3850" width="35.140625" style="17" customWidth="1"/>
    <col min="3851" max="4094" width="11.42578125" style="17"/>
    <col min="4095" max="4095" width="44.5703125" style="17" customWidth="1"/>
    <col min="4096" max="4096" width="28.42578125" style="17" customWidth="1"/>
    <col min="4097" max="4097" width="27" style="17" customWidth="1"/>
    <col min="4098" max="4098" width="20.42578125" style="17" customWidth="1"/>
    <col min="4099" max="4100" width="19" style="17" customWidth="1"/>
    <col min="4101" max="4101" width="12.42578125" style="17" customWidth="1"/>
    <col min="4102" max="4103" width="9.7109375" style="17" customWidth="1"/>
    <col min="4104" max="4104" width="10.140625" style="17" customWidth="1"/>
    <col min="4105" max="4105" width="24.140625" style="17" customWidth="1"/>
    <col min="4106" max="4106" width="35.140625" style="17" customWidth="1"/>
    <col min="4107" max="4350" width="11.42578125" style="17"/>
    <col min="4351" max="4351" width="44.5703125" style="17" customWidth="1"/>
    <col min="4352" max="4352" width="28.42578125" style="17" customWidth="1"/>
    <col min="4353" max="4353" width="27" style="17" customWidth="1"/>
    <col min="4354" max="4354" width="20.42578125" style="17" customWidth="1"/>
    <col min="4355" max="4356" width="19" style="17" customWidth="1"/>
    <col min="4357" max="4357" width="12.42578125" style="17" customWidth="1"/>
    <col min="4358" max="4359" width="9.7109375" style="17" customWidth="1"/>
    <col min="4360" max="4360" width="10.140625" style="17" customWidth="1"/>
    <col min="4361" max="4361" width="24.140625" style="17" customWidth="1"/>
    <col min="4362" max="4362" width="35.140625" style="17" customWidth="1"/>
    <col min="4363" max="4606" width="11.42578125" style="17"/>
    <col min="4607" max="4607" width="44.5703125" style="17" customWidth="1"/>
    <col min="4608" max="4608" width="28.42578125" style="17" customWidth="1"/>
    <col min="4609" max="4609" width="27" style="17" customWidth="1"/>
    <col min="4610" max="4610" width="20.42578125" style="17" customWidth="1"/>
    <col min="4611" max="4612" width="19" style="17" customWidth="1"/>
    <col min="4613" max="4613" width="12.42578125" style="17" customWidth="1"/>
    <col min="4614" max="4615" width="9.7109375" style="17" customWidth="1"/>
    <col min="4616" max="4616" width="10.140625" style="17" customWidth="1"/>
    <col min="4617" max="4617" width="24.140625" style="17" customWidth="1"/>
    <col min="4618" max="4618" width="35.140625" style="17" customWidth="1"/>
    <col min="4619" max="4862" width="11.42578125" style="17"/>
    <col min="4863" max="4863" width="44.5703125" style="17" customWidth="1"/>
    <col min="4864" max="4864" width="28.42578125" style="17" customWidth="1"/>
    <col min="4865" max="4865" width="27" style="17" customWidth="1"/>
    <col min="4866" max="4866" width="20.42578125" style="17" customWidth="1"/>
    <col min="4867" max="4868" width="19" style="17" customWidth="1"/>
    <col min="4869" max="4869" width="12.42578125" style="17" customWidth="1"/>
    <col min="4870" max="4871" width="9.7109375" style="17" customWidth="1"/>
    <col min="4872" max="4872" width="10.140625" style="17" customWidth="1"/>
    <col min="4873" max="4873" width="24.140625" style="17" customWidth="1"/>
    <col min="4874" max="4874" width="35.140625" style="17" customWidth="1"/>
    <col min="4875" max="5118" width="11.42578125" style="17"/>
    <col min="5119" max="5119" width="44.5703125" style="17" customWidth="1"/>
    <col min="5120" max="5120" width="28.42578125" style="17" customWidth="1"/>
    <col min="5121" max="5121" width="27" style="17" customWidth="1"/>
    <col min="5122" max="5122" width="20.42578125" style="17" customWidth="1"/>
    <col min="5123" max="5124" width="19" style="17" customWidth="1"/>
    <col min="5125" max="5125" width="12.42578125" style="17" customWidth="1"/>
    <col min="5126" max="5127" width="9.7109375" style="17" customWidth="1"/>
    <col min="5128" max="5128" width="10.140625" style="17" customWidth="1"/>
    <col min="5129" max="5129" width="24.140625" style="17" customWidth="1"/>
    <col min="5130" max="5130" width="35.140625" style="17" customWidth="1"/>
    <col min="5131" max="5374" width="11.42578125" style="17"/>
    <col min="5375" max="5375" width="44.5703125" style="17" customWidth="1"/>
    <col min="5376" max="5376" width="28.42578125" style="17" customWidth="1"/>
    <col min="5377" max="5377" width="27" style="17" customWidth="1"/>
    <col min="5378" max="5378" width="20.42578125" style="17" customWidth="1"/>
    <col min="5379" max="5380" width="19" style="17" customWidth="1"/>
    <col min="5381" max="5381" width="12.42578125" style="17" customWidth="1"/>
    <col min="5382" max="5383" width="9.7109375" style="17" customWidth="1"/>
    <col min="5384" max="5384" width="10.140625" style="17" customWidth="1"/>
    <col min="5385" max="5385" width="24.140625" style="17" customWidth="1"/>
    <col min="5386" max="5386" width="35.140625" style="17" customWidth="1"/>
    <col min="5387" max="5630" width="11.42578125" style="17"/>
    <col min="5631" max="5631" width="44.5703125" style="17" customWidth="1"/>
    <col min="5632" max="5632" width="28.42578125" style="17" customWidth="1"/>
    <col min="5633" max="5633" width="27" style="17" customWidth="1"/>
    <col min="5634" max="5634" width="20.42578125" style="17" customWidth="1"/>
    <col min="5635" max="5636" width="19" style="17" customWidth="1"/>
    <col min="5637" max="5637" width="12.42578125" style="17" customWidth="1"/>
    <col min="5638" max="5639" width="9.7109375" style="17" customWidth="1"/>
    <col min="5640" max="5640" width="10.140625" style="17" customWidth="1"/>
    <col min="5641" max="5641" width="24.140625" style="17" customWidth="1"/>
    <col min="5642" max="5642" width="35.140625" style="17" customWidth="1"/>
    <col min="5643" max="5886" width="11.42578125" style="17"/>
    <col min="5887" max="5887" width="44.5703125" style="17" customWidth="1"/>
    <col min="5888" max="5888" width="28.42578125" style="17" customWidth="1"/>
    <col min="5889" max="5889" width="27" style="17" customWidth="1"/>
    <col min="5890" max="5890" width="20.42578125" style="17" customWidth="1"/>
    <col min="5891" max="5892" width="19" style="17" customWidth="1"/>
    <col min="5893" max="5893" width="12.42578125" style="17" customWidth="1"/>
    <col min="5894" max="5895" width="9.7109375" style="17" customWidth="1"/>
    <col min="5896" max="5896" width="10.140625" style="17" customWidth="1"/>
    <col min="5897" max="5897" width="24.140625" style="17" customWidth="1"/>
    <col min="5898" max="5898" width="35.140625" style="17" customWidth="1"/>
    <col min="5899" max="6142" width="11.42578125" style="17"/>
    <col min="6143" max="6143" width="44.5703125" style="17" customWidth="1"/>
    <col min="6144" max="6144" width="28.42578125" style="17" customWidth="1"/>
    <col min="6145" max="6145" width="27" style="17" customWidth="1"/>
    <col min="6146" max="6146" width="20.42578125" style="17" customWidth="1"/>
    <col min="6147" max="6148" width="19" style="17" customWidth="1"/>
    <col min="6149" max="6149" width="12.42578125" style="17" customWidth="1"/>
    <col min="6150" max="6151" width="9.7109375" style="17" customWidth="1"/>
    <col min="6152" max="6152" width="10.140625" style="17" customWidth="1"/>
    <col min="6153" max="6153" width="24.140625" style="17" customWidth="1"/>
    <col min="6154" max="6154" width="35.140625" style="17" customWidth="1"/>
    <col min="6155" max="6398" width="11.42578125" style="17"/>
    <col min="6399" max="6399" width="44.5703125" style="17" customWidth="1"/>
    <col min="6400" max="6400" width="28.42578125" style="17" customWidth="1"/>
    <col min="6401" max="6401" width="27" style="17" customWidth="1"/>
    <col min="6402" max="6402" width="20.42578125" style="17" customWidth="1"/>
    <col min="6403" max="6404" width="19" style="17" customWidth="1"/>
    <col min="6405" max="6405" width="12.42578125" style="17" customWidth="1"/>
    <col min="6406" max="6407" width="9.7109375" style="17" customWidth="1"/>
    <col min="6408" max="6408" width="10.140625" style="17" customWidth="1"/>
    <col min="6409" max="6409" width="24.140625" style="17" customWidth="1"/>
    <col min="6410" max="6410" width="35.140625" style="17" customWidth="1"/>
    <col min="6411" max="6654" width="11.42578125" style="17"/>
    <col min="6655" max="6655" width="44.5703125" style="17" customWidth="1"/>
    <col min="6656" max="6656" width="28.42578125" style="17" customWidth="1"/>
    <col min="6657" max="6657" width="27" style="17" customWidth="1"/>
    <col min="6658" max="6658" width="20.42578125" style="17" customWidth="1"/>
    <col min="6659" max="6660" width="19" style="17" customWidth="1"/>
    <col min="6661" max="6661" width="12.42578125" style="17" customWidth="1"/>
    <col min="6662" max="6663" width="9.7109375" style="17" customWidth="1"/>
    <col min="6664" max="6664" width="10.140625" style="17" customWidth="1"/>
    <col min="6665" max="6665" width="24.140625" style="17" customWidth="1"/>
    <col min="6666" max="6666" width="35.140625" style="17" customWidth="1"/>
    <col min="6667" max="6910" width="11.42578125" style="17"/>
    <col min="6911" max="6911" width="44.5703125" style="17" customWidth="1"/>
    <col min="6912" max="6912" width="28.42578125" style="17" customWidth="1"/>
    <col min="6913" max="6913" width="27" style="17" customWidth="1"/>
    <col min="6914" max="6914" width="20.42578125" style="17" customWidth="1"/>
    <col min="6915" max="6916" width="19" style="17" customWidth="1"/>
    <col min="6917" max="6917" width="12.42578125" style="17" customWidth="1"/>
    <col min="6918" max="6919" width="9.7109375" style="17" customWidth="1"/>
    <col min="6920" max="6920" width="10.140625" style="17" customWidth="1"/>
    <col min="6921" max="6921" width="24.140625" style="17" customWidth="1"/>
    <col min="6922" max="6922" width="35.140625" style="17" customWidth="1"/>
    <col min="6923" max="7166" width="11.42578125" style="17"/>
    <col min="7167" max="7167" width="44.5703125" style="17" customWidth="1"/>
    <col min="7168" max="7168" width="28.42578125" style="17" customWidth="1"/>
    <col min="7169" max="7169" width="27" style="17" customWidth="1"/>
    <col min="7170" max="7170" width="20.42578125" style="17" customWidth="1"/>
    <col min="7171" max="7172" width="19" style="17" customWidth="1"/>
    <col min="7173" max="7173" width="12.42578125" style="17" customWidth="1"/>
    <col min="7174" max="7175" width="9.7109375" style="17" customWidth="1"/>
    <col min="7176" max="7176" width="10.140625" style="17" customWidth="1"/>
    <col min="7177" max="7177" width="24.140625" style="17" customWidth="1"/>
    <col min="7178" max="7178" width="35.140625" style="17" customWidth="1"/>
    <col min="7179" max="7422" width="11.42578125" style="17"/>
    <col min="7423" max="7423" width="44.5703125" style="17" customWidth="1"/>
    <col min="7424" max="7424" width="28.42578125" style="17" customWidth="1"/>
    <col min="7425" max="7425" width="27" style="17" customWidth="1"/>
    <col min="7426" max="7426" width="20.42578125" style="17" customWidth="1"/>
    <col min="7427" max="7428" width="19" style="17" customWidth="1"/>
    <col min="7429" max="7429" width="12.42578125" style="17" customWidth="1"/>
    <col min="7430" max="7431" width="9.7109375" style="17" customWidth="1"/>
    <col min="7432" max="7432" width="10.140625" style="17" customWidth="1"/>
    <col min="7433" max="7433" width="24.140625" style="17" customWidth="1"/>
    <col min="7434" max="7434" width="35.140625" style="17" customWidth="1"/>
    <col min="7435" max="7678" width="11.42578125" style="17"/>
    <col min="7679" max="7679" width="44.5703125" style="17" customWidth="1"/>
    <col min="7680" max="7680" width="28.42578125" style="17" customWidth="1"/>
    <col min="7681" max="7681" width="27" style="17" customWidth="1"/>
    <col min="7682" max="7682" width="20.42578125" style="17" customWidth="1"/>
    <col min="7683" max="7684" width="19" style="17" customWidth="1"/>
    <col min="7685" max="7685" width="12.42578125" style="17" customWidth="1"/>
    <col min="7686" max="7687" width="9.7109375" style="17" customWidth="1"/>
    <col min="7688" max="7688" width="10.140625" style="17" customWidth="1"/>
    <col min="7689" max="7689" width="24.140625" style="17" customWidth="1"/>
    <col min="7690" max="7690" width="35.140625" style="17" customWidth="1"/>
    <col min="7691" max="7934" width="11.42578125" style="17"/>
    <col min="7935" max="7935" width="44.5703125" style="17" customWidth="1"/>
    <col min="7936" max="7936" width="28.42578125" style="17" customWidth="1"/>
    <col min="7937" max="7937" width="27" style="17" customWidth="1"/>
    <col min="7938" max="7938" width="20.42578125" style="17" customWidth="1"/>
    <col min="7939" max="7940" width="19" style="17" customWidth="1"/>
    <col min="7941" max="7941" width="12.42578125" style="17" customWidth="1"/>
    <col min="7942" max="7943" width="9.7109375" style="17" customWidth="1"/>
    <col min="7944" max="7944" width="10.140625" style="17" customWidth="1"/>
    <col min="7945" max="7945" width="24.140625" style="17" customWidth="1"/>
    <col min="7946" max="7946" width="35.140625" style="17" customWidth="1"/>
    <col min="7947" max="8190" width="11.42578125" style="17"/>
    <col min="8191" max="8191" width="44.5703125" style="17" customWidth="1"/>
    <col min="8192" max="8192" width="28.42578125" style="17" customWidth="1"/>
    <col min="8193" max="8193" width="27" style="17" customWidth="1"/>
    <col min="8194" max="8194" width="20.42578125" style="17" customWidth="1"/>
    <col min="8195" max="8196" width="19" style="17" customWidth="1"/>
    <col min="8197" max="8197" width="12.42578125" style="17" customWidth="1"/>
    <col min="8198" max="8199" width="9.7109375" style="17" customWidth="1"/>
    <col min="8200" max="8200" width="10.140625" style="17" customWidth="1"/>
    <col min="8201" max="8201" width="24.140625" style="17" customWidth="1"/>
    <col min="8202" max="8202" width="35.140625" style="17" customWidth="1"/>
    <col min="8203" max="8446" width="11.42578125" style="17"/>
    <col min="8447" max="8447" width="44.5703125" style="17" customWidth="1"/>
    <col min="8448" max="8448" width="28.42578125" style="17" customWidth="1"/>
    <col min="8449" max="8449" width="27" style="17" customWidth="1"/>
    <col min="8450" max="8450" width="20.42578125" style="17" customWidth="1"/>
    <col min="8451" max="8452" width="19" style="17" customWidth="1"/>
    <col min="8453" max="8453" width="12.42578125" style="17" customWidth="1"/>
    <col min="8454" max="8455" width="9.7109375" style="17" customWidth="1"/>
    <col min="8456" max="8456" width="10.140625" style="17" customWidth="1"/>
    <col min="8457" max="8457" width="24.140625" style="17" customWidth="1"/>
    <col min="8458" max="8458" width="35.140625" style="17" customWidth="1"/>
    <col min="8459" max="8702" width="11.42578125" style="17"/>
    <col min="8703" max="8703" width="44.5703125" style="17" customWidth="1"/>
    <col min="8704" max="8704" width="28.42578125" style="17" customWidth="1"/>
    <col min="8705" max="8705" width="27" style="17" customWidth="1"/>
    <col min="8706" max="8706" width="20.42578125" style="17" customWidth="1"/>
    <col min="8707" max="8708" width="19" style="17" customWidth="1"/>
    <col min="8709" max="8709" width="12.42578125" style="17" customWidth="1"/>
    <col min="8710" max="8711" width="9.7109375" style="17" customWidth="1"/>
    <col min="8712" max="8712" width="10.140625" style="17" customWidth="1"/>
    <col min="8713" max="8713" width="24.140625" style="17" customWidth="1"/>
    <col min="8714" max="8714" width="35.140625" style="17" customWidth="1"/>
    <col min="8715" max="8958" width="11.42578125" style="17"/>
    <col min="8959" max="8959" width="44.5703125" style="17" customWidth="1"/>
    <col min="8960" max="8960" width="28.42578125" style="17" customWidth="1"/>
    <col min="8961" max="8961" width="27" style="17" customWidth="1"/>
    <col min="8962" max="8962" width="20.42578125" style="17" customWidth="1"/>
    <col min="8963" max="8964" width="19" style="17" customWidth="1"/>
    <col min="8965" max="8965" width="12.42578125" style="17" customWidth="1"/>
    <col min="8966" max="8967" width="9.7109375" style="17" customWidth="1"/>
    <col min="8968" max="8968" width="10.140625" style="17" customWidth="1"/>
    <col min="8969" max="8969" width="24.140625" style="17" customWidth="1"/>
    <col min="8970" max="8970" width="35.140625" style="17" customWidth="1"/>
    <col min="8971" max="9214" width="11.42578125" style="17"/>
    <col min="9215" max="9215" width="44.5703125" style="17" customWidth="1"/>
    <col min="9216" max="9216" width="28.42578125" style="17" customWidth="1"/>
    <col min="9217" max="9217" width="27" style="17" customWidth="1"/>
    <col min="9218" max="9218" width="20.42578125" style="17" customWidth="1"/>
    <col min="9219" max="9220" width="19" style="17" customWidth="1"/>
    <col min="9221" max="9221" width="12.42578125" style="17" customWidth="1"/>
    <col min="9222" max="9223" width="9.7109375" style="17" customWidth="1"/>
    <col min="9224" max="9224" width="10.140625" style="17" customWidth="1"/>
    <col min="9225" max="9225" width="24.140625" style="17" customWidth="1"/>
    <col min="9226" max="9226" width="35.140625" style="17" customWidth="1"/>
    <col min="9227" max="9470" width="11.42578125" style="17"/>
    <col min="9471" max="9471" width="44.5703125" style="17" customWidth="1"/>
    <col min="9472" max="9472" width="28.42578125" style="17" customWidth="1"/>
    <col min="9473" max="9473" width="27" style="17" customWidth="1"/>
    <col min="9474" max="9474" width="20.42578125" style="17" customWidth="1"/>
    <col min="9475" max="9476" width="19" style="17" customWidth="1"/>
    <col min="9477" max="9477" width="12.42578125" style="17" customWidth="1"/>
    <col min="9478" max="9479" width="9.7109375" style="17" customWidth="1"/>
    <col min="9480" max="9480" width="10.140625" style="17" customWidth="1"/>
    <col min="9481" max="9481" width="24.140625" style="17" customWidth="1"/>
    <col min="9482" max="9482" width="35.140625" style="17" customWidth="1"/>
    <col min="9483" max="9726" width="11.42578125" style="17"/>
    <col min="9727" max="9727" width="44.5703125" style="17" customWidth="1"/>
    <col min="9728" max="9728" width="28.42578125" style="17" customWidth="1"/>
    <col min="9729" max="9729" width="27" style="17" customWidth="1"/>
    <col min="9730" max="9730" width="20.42578125" style="17" customWidth="1"/>
    <col min="9731" max="9732" width="19" style="17" customWidth="1"/>
    <col min="9733" max="9733" width="12.42578125" style="17" customWidth="1"/>
    <col min="9734" max="9735" width="9.7109375" style="17" customWidth="1"/>
    <col min="9736" max="9736" width="10.140625" style="17" customWidth="1"/>
    <col min="9737" max="9737" width="24.140625" style="17" customWidth="1"/>
    <col min="9738" max="9738" width="35.140625" style="17" customWidth="1"/>
    <col min="9739" max="9982" width="11.42578125" style="17"/>
    <col min="9983" max="9983" width="44.5703125" style="17" customWidth="1"/>
    <col min="9984" max="9984" width="28.42578125" style="17" customWidth="1"/>
    <col min="9985" max="9985" width="27" style="17" customWidth="1"/>
    <col min="9986" max="9986" width="20.42578125" style="17" customWidth="1"/>
    <col min="9987" max="9988" width="19" style="17" customWidth="1"/>
    <col min="9989" max="9989" width="12.42578125" style="17" customWidth="1"/>
    <col min="9990" max="9991" width="9.7109375" style="17" customWidth="1"/>
    <col min="9992" max="9992" width="10.140625" style="17" customWidth="1"/>
    <col min="9993" max="9993" width="24.140625" style="17" customWidth="1"/>
    <col min="9994" max="9994" width="35.140625" style="17" customWidth="1"/>
    <col min="9995" max="10238" width="11.42578125" style="17"/>
    <col min="10239" max="10239" width="44.5703125" style="17" customWidth="1"/>
    <col min="10240" max="10240" width="28.42578125" style="17" customWidth="1"/>
    <col min="10241" max="10241" width="27" style="17" customWidth="1"/>
    <col min="10242" max="10242" width="20.42578125" style="17" customWidth="1"/>
    <col min="10243" max="10244" width="19" style="17" customWidth="1"/>
    <col min="10245" max="10245" width="12.42578125" style="17" customWidth="1"/>
    <col min="10246" max="10247" width="9.7109375" style="17" customWidth="1"/>
    <col min="10248" max="10248" width="10.140625" style="17" customWidth="1"/>
    <col min="10249" max="10249" width="24.140625" style="17" customWidth="1"/>
    <col min="10250" max="10250" width="35.140625" style="17" customWidth="1"/>
    <col min="10251" max="10494" width="11.42578125" style="17"/>
    <col min="10495" max="10495" width="44.5703125" style="17" customWidth="1"/>
    <col min="10496" max="10496" width="28.42578125" style="17" customWidth="1"/>
    <col min="10497" max="10497" width="27" style="17" customWidth="1"/>
    <col min="10498" max="10498" width="20.42578125" style="17" customWidth="1"/>
    <col min="10499" max="10500" width="19" style="17" customWidth="1"/>
    <col min="10501" max="10501" width="12.42578125" style="17" customWidth="1"/>
    <col min="10502" max="10503" width="9.7109375" style="17" customWidth="1"/>
    <col min="10504" max="10504" width="10.140625" style="17" customWidth="1"/>
    <col min="10505" max="10505" width="24.140625" style="17" customWidth="1"/>
    <col min="10506" max="10506" width="35.140625" style="17" customWidth="1"/>
    <col min="10507" max="10750" width="11.42578125" style="17"/>
    <col min="10751" max="10751" width="44.5703125" style="17" customWidth="1"/>
    <col min="10752" max="10752" width="28.42578125" style="17" customWidth="1"/>
    <col min="10753" max="10753" width="27" style="17" customWidth="1"/>
    <col min="10754" max="10754" width="20.42578125" style="17" customWidth="1"/>
    <col min="10755" max="10756" width="19" style="17" customWidth="1"/>
    <col min="10757" max="10757" width="12.42578125" style="17" customWidth="1"/>
    <col min="10758" max="10759" width="9.7109375" style="17" customWidth="1"/>
    <col min="10760" max="10760" width="10.140625" style="17" customWidth="1"/>
    <col min="10761" max="10761" width="24.140625" style="17" customWidth="1"/>
    <col min="10762" max="10762" width="35.140625" style="17" customWidth="1"/>
    <col min="10763" max="11006" width="11.42578125" style="17"/>
    <col min="11007" max="11007" width="44.5703125" style="17" customWidth="1"/>
    <col min="11008" max="11008" width="28.42578125" style="17" customWidth="1"/>
    <col min="11009" max="11009" width="27" style="17" customWidth="1"/>
    <col min="11010" max="11010" width="20.42578125" style="17" customWidth="1"/>
    <col min="11011" max="11012" width="19" style="17" customWidth="1"/>
    <col min="11013" max="11013" width="12.42578125" style="17" customWidth="1"/>
    <col min="11014" max="11015" width="9.7109375" style="17" customWidth="1"/>
    <col min="11016" max="11016" width="10.140625" style="17" customWidth="1"/>
    <col min="11017" max="11017" width="24.140625" style="17" customWidth="1"/>
    <col min="11018" max="11018" width="35.140625" style="17" customWidth="1"/>
    <col min="11019" max="11262" width="11.42578125" style="17"/>
    <col min="11263" max="11263" width="44.5703125" style="17" customWidth="1"/>
    <col min="11264" max="11264" width="28.42578125" style="17" customWidth="1"/>
    <col min="11265" max="11265" width="27" style="17" customWidth="1"/>
    <col min="11266" max="11266" width="20.42578125" style="17" customWidth="1"/>
    <col min="11267" max="11268" width="19" style="17" customWidth="1"/>
    <col min="11269" max="11269" width="12.42578125" style="17" customWidth="1"/>
    <col min="11270" max="11271" width="9.7109375" style="17" customWidth="1"/>
    <col min="11272" max="11272" width="10.140625" style="17" customWidth="1"/>
    <col min="11273" max="11273" width="24.140625" style="17" customWidth="1"/>
    <col min="11274" max="11274" width="35.140625" style="17" customWidth="1"/>
    <col min="11275" max="11518" width="11.42578125" style="17"/>
    <col min="11519" max="11519" width="44.5703125" style="17" customWidth="1"/>
    <col min="11520" max="11520" width="28.42578125" style="17" customWidth="1"/>
    <col min="11521" max="11521" width="27" style="17" customWidth="1"/>
    <col min="11522" max="11522" width="20.42578125" style="17" customWidth="1"/>
    <col min="11523" max="11524" width="19" style="17" customWidth="1"/>
    <col min="11525" max="11525" width="12.42578125" style="17" customWidth="1"/>
    <col min="11526" max="11527" width="9.7109375" style="17" customWidth="1"/>
    <col min="11528" max="11528" width="10.140625" style="17" customWidth="1"/>
    <col min="11529" max="11529" width="24.140625" style="17" customWidth="1"/>
    <col min="11530" max="11530" width="35.140625" style="17" customWidth="1"/>
    <col min="11531" max="11774" width="11.42578125" style="17"/>
    <col min="11775" max="11775" width="44.5703125" style="17" customWidth="1"/>
    <col min="11776" max="11776" width="28.42578125" style="17" customWidth="1"/>
    <col min="11777" max="11777" width="27" style="17" customWidth="1"/>
    <col min="11778" max="11778" width="20.42578125" style="17" customWidth="1"/>
    <col min="11779" max="11780" width="19" style="17" customWidth="1"/>
    <col min="11781" max="11781" width="12.42578125" style="17" customWidth="1"/>
    <col min="11782" max="11783" width="9.7109375" style="17" customWidth="1"/>
    <col min="11784" max="11784" width="10.140625" style="17" customWidth="1"/>
    <col min="11785" max="11785" width="24.140625" style="17" customWidth="1"/>
    <col min="11786" max="11786" width="35.140625" style="17" customWidth="1"/>
    <col min="11787" max="12030" width="11.42578125" style="17"/>
    <col min="12031" max="12031" width="44.5703125" style="17" customWidth="1"/>
    <col min="12032" max="12032" width="28.42578125" style="17" customWidth="1"/>
    <col min="12033" max="12033" width="27" style="17" customWidth="1"/>
    <col min="12034" max="12034" width="20.42578125" style="17" customWidth="1"/>
    <col min="12035" max="12036" width="19" style="17" customWidth="1"/>
    <col min="12037" max="12037" width="12.42578125" style="17" customWidth="1"/>
    <col min="12038" max="12039" width="9.7109375" style="17" customWidth="1"/>
    <col min="12040" max="12040" width="10.140625" style="17" customWidth="1"/>
    <col min="12041" max="12041" width="24.140625" style="17" customWidth="1"/>
    <col min="12042" max="12042" width="35.140625" style="17" customWidth="1"/>
    <col min="12043" max="12286" width="11.42578125" style="17"/>
    <col min="12287" max="12287" width="44.5703125" style="17" customWidth="1"/>
    <col min="12288" max="12288" width="28.42578125" style="17" customWidth="1"/>
    <col min="12289" max="12289" width="27" style="17" customWidth="1"/>
    <col min="12290" max="12290" width="20.42578125" style="17" customWidth="1"/>
    <col min="12291" max="12292" width="19" style="17" customWidth="1"/>
    <col min="12293" max="12293" width="12.42578125" style="17" customWidth="1"/>
    <col min="12294" max="12295" width="9.7109375" style="17" customWidth="1"/>
    <col min="12296" max="12296" width="10.140625" style="17" customWidth="1"/>
    <col min="12297" max="12297" width="24.140625" style="17" customWidth="1"/>
    <col min="12298" max="12298" width="35.140625" style="17" customWidth="1"/>
    <col min="12299" max="12542" width="11.42578125" style="17"/>
    <col min="12543" max="12543" width="44.5703125" style="17" customWidth="1"/>
    <col min="12544" max="12544" width="28.42578125" style="17" customWidth="1"/>
    <col min="12545" max="12545" width="27" style="17" customWidth="1"/>
    <col min="12546" max="12546" width="20.42578125" style="17" customWidth="1"/>
    <col min="12547" max="12548" width="19" style="17" customWidth="1"/>
    <col min="12549" max="12549" width="12.42578125" style="17" customWidth="1"/>
    <col min="12550" max="12551" width="9.7109375" style="17" customWidth="1"/>
    <col min="12552" max="12552" width="10.140625" style="17" customWidth="1"/>
    <col min="12553" max="12553" width="24.140625" style="17" customWidth="1"/>
    <col min="12554" max="12554" width="35.140625" style="17" customWidth="1"/>
    <col min="12555" max="12798" width="11.42578125" style="17"/>
    <col min="12799" max="12799" width="44.5703125" style="17" customWidth="1"/>
    <col min="12800" max="12800" width="28.42578125" style="17" customWidth="1"/>
    <col min="12801" max="12801" width="27" style="17" customWidth="1"/>
    <col min="12802" max="12802" width="20.42578125" style="17" customWidth="1"/>
    <col min="12803" max="12804" width="19" style="17" customWidth="1"/>
    <col min="12805" max="12805" width="12.42578125" style="17" customWidth="1"/>
    <col min="12806" max="12807" width="9.7109375" style="17" customWidth="1"/>
    <col min="12808" max="12808" width="10.140625" style="17" customWidth="1"/>
    <col min="12809" max="12809" width="24.140625" style="17" customWidth="1"/>
    <col min="12810" max="12810" width="35.140625" style="17" customWidth="1"/>
    <col min="12811" max="13054" width="11.42578125" style="17"/>
    <col min="13055" max="13055" width="44.5703125" style="17" customWidth="1"/>
    <col min="13056" max="13056" width="28.42578125" style="17" customWidth="1"/>
    <col min="13057" max="13057" width="27" style="17" customWidth="1"/>
    <col min="13058" max="13058" width="20.42578125" style="17" customWidth="1"/>
    <col min="13059" max="13060" width="19" style="17" customWidth="1"/>
    <col min="13061" max="13061" width="12.42578125" style="17" customWidth="1"/>
    <col min="13062" max="13063" width="9.7109375" style="17" customWidth="1"/>
    <col min="13064" max="13064" width="10.140625" style="17" customWidth="1"/>
    <col min="13065" max="13065" width="24.140625" style="17" customWidth="1"/>
    <col min="13066" max="13066" width="35.140625" style="17" customWidth="1"/>
    <col min="13067" max="13310" width="11.42578125" style="17"/>
    <col min="13311" max="13311" width="44.5703125" style="17" customWidth="1"/>
    <col min="13312" max="13312" width="28.42578125" style="17" customWidth="1"/>
    <col min="13313" max="13313" width="27" style="17" customWidth="1"/>
    <col min="13314" max="13314" width="20.42578125" style="17" customWidth="1"/>
    <col min="13315" max="13316" width="19" style="17" customWidth="1"/>
    <col min="13317" max="13317" width="12.42578125" style="17" customWidth="1"/>
    <col min="13318" max="13319" width="9.7109375" style="17" customWidth="1"/>
    <col min="13320" max="13320" width="10.140625" style="17" customWidth="1"/>
    <col min="13321" max="13321" width="24.140625" style="17" customWidth="1"/>
    <col min="13322" max="13322" width="35.140625" style="17" customWidth="1"/>
    <col min="13323" max="13566" width="11.42578125" style="17"/>
    <col min="13567" max="13567" width="44.5703125" style="17" customWidth="1"/>
    <col min="13568" max="13568" width="28.42578125" style="17" customWidth="1"/>
    <col min="13569" max="13569" width="27" style="17" customWidth="1"/>
    <col min="13570" max="13570" width="20.42578125" style="17" customWidth="1"/>
    <col min="13571" max="13572" width="19" style="17" customWidth="1"/>
    <col min="13573" max="13573" width="12.42578125" style="17" customWidth="1"/>
    <col min="13574" max="13575" width="9.7109375" style="17" customWidth="1"/>
    <col min="13576" max="13576" width="10.140625" style="17" customWidth="1"/>
    <col min="13577" max="13577" width="24.140625" style="17" customWidth="1"/>
    <col min="13578" max="13578" width="35.140625" style="17" customWidth="1"/>
    <col min="13579" max="13822" width="11.42578125" style="17"/>
    <col min="13823" max="13823" width="44.5703125" style="17" customWidth="1"/>
    <col min="13824" max="13824" width="28.42578125" style="17" customWidth="1"/>
    <col min="13825" max="13825" width="27" style="17" customWidth="1"/>
    <col min="13826" max="13826" width="20.42578125" style="17" customWidth="1"/>
    <col min="13827" max="13828" width="19" style="17" customWidth="1"/>
    <col min="13829" max="13829" width="12.42578125" style="17" customWidth="1"/>
    <col min="13830" max="13831" width="9.7109375" style="17" customWidth="1"/>
    <col min="13832" max="13832" width="10.140625" style="17" customWidth="1"/>
    <col min="13833" max="13833" width="24.140625" style="17" customWidth="1"/>
    <col min="13834" max="13834" width="35.140625" style="17" customWidth="1"/>
    <col min="13835" max="14078" width="11.42578125" style="17"/>
    <col min="14079" max="14079" width="44.5703125" style="17" customWidth="1"/>
    <col min="14080" max="14080" width="28.42578125" style="17" customWidth="1"/>
    <col min="14081" max="14081" width="27" style="17" customWidth="1"/>
    <col min="14082" max="14082" width="20.42578125" style="17" customWidth="1"/>
    <col min="14083" max="14084" width="19" style="17" customWidth="1"/>
    <col min="14085" max="14085" width="12.42578125" style="17" customWidth="1"/>
    <col min="14086" max="14087" width="9.7109375" style="17" customWidth="1"/>
    <col min="14088" max="14088" width="10.140625" style="17" customWidth="1"/>
    <col min="14089" max="14089" width="24.140625" style="17" customWidth="1"/>
    <col min="14090" max="14090" width="35.140625" style="17" customWidth="1"/>
    <col min="14091" max="14334" width="11.42578125" style="17"/>
    <col min="14335" max="14335" width="44.5703125" style="17" customWidth="1"/>
    <col min="14336" max="14336" width="28.42578125" style="17" customWidth="1"/>
    <col min="14337" max="14337" width="27" style="17" customWidth="1"/>
    <col min="14338" max="14338" width="20.42578125" style="17" customWidth="1"/>
    <col min="14339" max="14340" width="19" style="17" customWidth="1"/>
    <col min="14341" max="14341" width="12.42578125" style="17" customWidth="1"/>
    <col min="14342" max="14343" width="9.7109375" style="17" customWidth="1"/>
    <col min="14344" max="14344" width="10.140625" style="17" customWidth="1"/>
    <col min="14345" max="14345" width="24.140625" style="17" customWidth="1"/>
    <col min="14346" max="14346" width="35.140625" style="17" customWidth="1"/>
    <col min="14347" max="14590" width="11.42578125" style="17"/>
    <col min="14591" max="14591" width="44.5703125" style="17" customWidth="1"/>
    <col min="14592" max="14592" width="28.42578125" style="17" customWidth="1"/>
    <col min="14593" max="14593" width="27" style="17" customWidth="1"/>
    <col min="14594" max="14594" width="20.42578125" style="17" customWidth="1"/>
    <col min="14595" max="14596" width="19" style="17" customWidth="1"/>
    <col min="14597" max="14597" width="12.42578125" style="17" customWidth="1"/>
    <col min="14598" max="14599" width="9.7109375" style="17" customWidth="1"/>
    <col min="14600" max="14600" width="10.140625" style="17" customWidth="1"/>
    <col min="14601" max="14601" width="24.140625" style="17" customWidth="1"/>
    <col min="14602" max="14602" width="35.140625" style="17" customWidth="1"/>
    <col min="14603" max="14846" width="11.42578125" style="17"/>
    <col min="14847" max="14847" width="44.5703125" style="17" customWidth="1"/>
    <col min="14848" max="14848" width="28.42578125" style="17" customWidth="1"/>
    <col min="14849" max="14849" width="27" style="17" customWidth="1"/>
    <col min="14850" max="14850" width="20.42578125" style="17" customWidth="1"/>
    <col min="14851" max="14852" width="19" style="17" customWidth="1"/>
    <col min="14853" max="14853" width="12.42578125" style="17" customWidth="1"/>
    <col min="14854" max="14855" width="9.7109375" style="17" customWidth="1"/>
    <col min="14856" max="14856" width="10.140625" style="17" customWidth="1"/>
    <col min="14857" max="14857" width="24.140625" style="17" customWidth="1"/>
    <col min="14858" max="14858" width="35.140625" style="17" customWidth="1"/>
    <col min="14859" max="15102" width="11.42578125" style="17"/>
    <col min="15103" max="15103" width="44.5703125" style="17" customWidth="1"/>
    <col min="15104" max="15104" width="28.42578125" style="17" customWidth="1"/>
    <col min="15105" max="15105" width="27" style="17" customWidth="1"/>
    <col min="15106" max="15106" width="20.42578125" style="17" customWidth="1"/>
    <col min="15107" max="15108" width="19" style="17" customWidth="1"/>
    <col min="15109" max="15109" width="12.42578125" style="17" customWidth="1"/>
    <col min="15110" max="15111" width="9.7109375" style="17" customWidth="1"/>
    <col min="15112" max="15112" width="10.140625" style="17" customWidth="1"/>
    <col min="15113" max="15113" width="24.140625" style="17" customWidth="1"/>
    <col min="15114" max="15114" width="35.140625" style="17" customWidth="1"/>
    <col min="15115" max="15358" width="11.42578125" style="17"/>
    <col min="15359" max="15359" width="44.5703125" style="17" customWidth="1"/>
    <col min="15360" max="15360" width="28.42578125" style="17" customWidth="1"/>
    <col min="15361" max="15361" width="27" style="17" customWidth="1"/>
    <col min="15362" max="15362" width="20.42578125" style="17" customWidth="1"/>
    <col min="15363" max="15364" width="19" style="17" customWidth="1"/>
    <col min="15365" max="15365" width="12.42578125" style="17" customWidth="1"/>
    <col min="15366" max="15367" width="9.7109375" style="17" customWidth="1"/>
    <col min="15368" max="15368" width="10.140625" style="17" customWidth="1"/>
    <col min="15369" max="15369" width="24.140625" style="17" customWidth="1"/>
    <col min="15370" max="15370" width="35.140625" style="17" customWidth="1"/>
    <col min="15371" max="15614" width="11.42578125" style="17"/>
    <col min="15615" max="15615" width="44.5703125" style="17" customWidth="1"/>
    <col min="15616" max="15616" width="28.42578125" style="17" customWidth="1"/>
    <col min="15617" max="15617" width="27" style="17" customWidth="1"/>
    <col min="15618" max="15618" width="20.42578125" style="17" customWidth="1"/>
    <col min="15619" max="15620" width="19" style="17" customWidth="1"/>
    <col min="15621" max="15621" width="12.42578125" style="17" customWidth="1"/>
    <col min="15622" max="15623" width="9.7109375" style="17" customWidth="1"/>
    <col min="15624" max="15624" width="10.140625" style="17" customWidth="1"/>
    <col min="15625" max="15625" width="24.140625" style="17" customWidth="1"/>
    <col min="15626" max="15626" width="35.140625" style="17" customWidth="1"/>
    <col min="15627" max="15870" width="11.42578125" style="17"/>
    <col min="15871" max="15871" width="44.5703125" style="17" customWidth="1"/>
    <col min="15872" max="15872" width="28.42578125" style="17" customWidth="1"/>
    <col min="15873" max="15873" width="27" style="17" customWidth="1"/>
    <col min="15874" max="15874" width="20.42578125" style="17" customWidth="1"/>
    <col min="15875" max="15876" width="19" style="17" customWidth="1"/>
    <col min="15877" max="15877" width="12.42578125" style="17" customWidth="1"/>
    <col min="15878" max="15879" width="9.7109375" style="17" customWidth="1"/>
    <col min="15880" max="15880" width="10.140625" style="17" customWidth="1"/>
    <col min="15881" max="15881" width="24.140625" style="17" customWidth="1"/>
    <col min="15882" max="15882" width="35.140625" style="17" customWidth="1"/>
    <col min="15883" max="16126" width="11.42578125" style="17"/>
    <col min="16127" max="16127" width="44.5703125" style="17" customWidth="1"/>
    <col min="16128" max="16128" width="28.42578125" style="17" customWidth="1"/>
    <col min="16129" max="16129" width="27" style="17" customWidth="1"/>
    <col min="16130" max="16130" width="20.42578125" style="17" customWidth="1"/>
    <col min="16131" max="16132" width="19" style="17" customWidth="1"/>
    <col min="16133" max="16133" width="12.42578125" style="17" customWidth="1"/>
    <col min="16134" max="16135" width="9.7109375" style="17" customWidth="1"/>
    <col min="16136" max="16136" width="10.140625" style="17" customWidth="1"/>
    <col min="16137" max="16137" width="24.140625" style="17" customWidth="1"/>
    <col min="16138" max="16138" width="35.140625" style="17" customWidth="1"/>
    <col min="16139" max="16384" width="11.42578125" style="17"/>
  </cols>
  <sheetData>
    <row r="2" spans="3:23" ht="28.5" customHeight="1">
      <c r="C2" s="1608" t="s">
        <v>307</v>
      </c>
      <c r="D2" s="1608"/>
      <c r="E2" s="1608"/>
      <c r="F2" s="1608"/>
      <c r="G2" s="1608"/>
      <c r="H2" s="1608"/>
      <c r="I2" s="1608"/>
      <c r="J2" s="1608"/>
      <c r="K2" s="1608"/>
      <c r="L2" s="1608"/>
      <c r="M2" s="1608"/>
      <c r="N2" s="1608"/>
      <c r="O2" s="698"/>
      <c r="P2" s="698"/>
      <c r="Q2" s="699"/>
      <c r="R2" s="700"/>
      <c r="S2" s="700"/>
      <c r="T2" s="700"/>
      <c r="U2" s="700"/>
      <c r="V2" s="701"/>
    </row>
    <row r="3" spans="3:23" ht="21.75" customHeight="1">
      <c r="C3" s="1609" t="s">
        <v>308</v>
      </c>
      <c r="D3" s="1609"/>
      <c r="E3" s="1609"/>
      <c r="F3" s="1609"/>
      <c r="G3" s="1609"/>
      <c r="H3" s="1609"/>
      <c r="I3" s="1609"/>
      <c r="J3" s="1609"/>
      <c r="K3" s="1609"/>
      <c r="L3" s="1609"/>
      <c r="M3" s="1609"/>
      <c r="N3" s="1609"/>
      <c r="O3" s="698"/>
      <c r="P3" s="698"/>
      <c r="Q3" s="702"/>
      <c r="R3" s="621"/>
      <c r="S3" s="621"/>
      <c r="T3" s="621"/>
      <c r="U3" s="621"/>
      <c r="V3" s="703"/>
    </row>
    <row r="4" spans="3:23" ht="21.75" customHeight="1">
      <c r="C4" s="1609" t="s">
        <v>1321</v>
      </c>
      <c r="D4" s="1609"/>
      <c r="E4" s="1609"/>
      <c r="F4" s="1609"/>
      <c r="G4" s="1609"/>
      <c r="H4" s="1609"/>
      <c r="I4" s="1609"/>
      <c r="J4" s="1609"/>
      <c r="K4" s="1609"/>
      <c r="L4" s="1609"/>
      <c r="M4" s="1609"/>
      <c r="N4" s="1609"/>
      <c r="O4" s="698"/>
      <c r="P4" s="698"/>
      <c r="Q4" s="702"/>
      <c r="R4" s="621"/>
      <c r="S4" s="621"/>
      <c r="T4" s="621"/>
      <c r="U4" s="621"/>
      <c r="V4" s="703"/>
    </row>
    <row r="5" spans="3:23" ht="23.25" customHeight="1">
      <c r="C5" s="704"/>
      <c r="D5" s="705"/>
      <c r="E5" s="705"/>
      <c r="F5" s="705"/>
      <c r="G5" s="705"/>
      <c r="H5" s="705"/>
      <c r="I5" s="705"/>
      <c r="J5" s="606"/>
      <c r="K5" s="606"/>
      <c r="L5" s="1725"/>
      <c r="M5" s="1725"/>
      <c r="N5" s="1725"/>
      <c r="O5" s="606"/>
      <c r="P5" s="606"/>
      <c r="Q5" s="706"/>
      <c r="R5" s="707"/>
      <c r="S5" s="707"/>
      <c r="T5" s="707"/>
      <c r="U5" s="707"/>
      <c r="V5" s="708"/>
    </row>
    <row r="6" spans="3:23" ht="48.75" customHeight="1">
      <c r="C6" s="1553" t="s">
        <v>48</v>
      </c>
      <c r="D6" s="1553" t="s">
        <v>49</v>
      </c>
      <c r="E6" s="1553" t="s">
        <v>229</v>
      </c>
      <c r="F6" s="1536" t="s">
        <v>230</v>
      </c>
      <c r="G6" s="1553" t="s">
        <v>131</v>
      </c>
      <c r="H6" s="1553" t="s">
        <v>231</v>
      </c>
      <c r="I6" s="1553" t="s">
        <v>232</v>
      </c>
      <c r="J6" s="1553" t="s">
        <v>233</v>
      </c>
      <c r="K6" s="1553" t="s">
        <v>234</v>
      </c>
      <c r="L6" s="1553"/>
      <c r="M6" s="1553"/>
      <c r="N6" s="1553"/>
      <c r="O6" s="606"/>
      <c r="P6" s="606"/>
      <c r="Q6" s="706"/>
      <c r="R6" s="707"/>
      <c r="S6" s="707"/>
      <c r="T6" s="707"/>
      <c r="U6" s="707"/>
      <c r="V6" s="708"/>
    </row>
    <row r="7" spans="3:23" ht="25.5" customHeight="1">
      <c r="C7" s="1553"/>
      <c r="D7" s="1553"/>
      <c r="E7" s="1553"/>
      <c r="F7" s="1556"/>
      <c r="G7" s="1553"/>
      <c r="H7" s="1553"/>
      <c r="I7" s="1553"/>
      <c r="J7" s="1553"/>
      <c r="K7" s="1557" t="s">
        <v>236</v>
      </c>
      <c r="L7" s="1558"/>
      <c r="M7" s="1726" t="s">
        <v>237</v>
      </c>
      <c r="N7" s="1726"/>
      <c r="O7" s="607"/>
      <c r="P7" s="607"/>
      <c r="Q7" s="709"/>
      <c r="R7" s="710"/>
      <c r="S7" s="710"/>
      <c r="T7" s="710"/>
      <c r="U7" s="710"/>
      <c r="V7" s="711"/>
    </row>
    <row r="8" spans="3:23" ht="27.75" customHeight="1">
      <c r="C8" s="1553"/>
      <c r="D8" s="1553"/>
      <c r="E8" s="1553"/>
      <c r="F8" s="693" t="s">
        <v>238</v>
      </c>
      <c r="G8" s="1553"/>
      <c r="H8" s="1553"/>
      <c r="I8" s="1553"/>
      <c r="J8" s="1553"/>
      <c r="K8" s="104" t="s">
        <v>239</v>
      </c>
      <c r="L8" s="104" t="s">
        <v>240</v>
      </c>
      <c r="M8" s="104" t="s">
        <v>239</v>
      </c>
      <c r="N8" s="538" t="s">
        <v>240</v>
      </c>
      <c r="O8" s="1727" t="s">
        <v>1254</v>
      </c>
      <c r="P8" s="1727"/>
      <c r="Q8" s="1727" t="s">
        <v>1322</v>
      </c>
      <c r="R8" s="1727"/>
      <c r="S8" s="1727" t="s">
        <v>1323</v>
      </c>
      <c r="T8" s="1727"/>
      <c r="U8" s="1727" t="s">
        <v>1324</v>
      </c>
      <c r="V8" s="1727"/>
    </row>
    <row r="9" spans="3:23" ht="27.75" customHeight="1">
      <c r="C9" s="693"/>
      <c r="D9" s="693"/>
      <c r="E9" s="693"/>
      <c r="F9" s="693"/>
      <c r="G9" s="693"/>
      <c r="H9" s="693"/>
      <c r="I9" s="693"/>
      <c r="J9" s="693"/>
      <c r="K9" s="104"/>
      <c r="L9" s="104"/>
      <c r="M9" s="104"/>
      <c r="N9" s="538"/>
      <c r="O9" s="608" t="s">
        <v>18</v>
      </c>
      <c r="P9" s="608" t="s">
        <v>71</v>
      </c>
      <c r="Q9" s="608" t="s">
        <v>18</v>
      </c>
      <c r="R9" s="608" t="s">
        <v>71</v>
      </c>
      <c r="S9" s="608" t="s">
        <v>18</v>
      </c>
      <c r="T9" s="608" t="s">
        <v>71</v>
      </c>
      <c r="U9" s="608" t="s">
        <v>18</v>
      </c>
      <c r="V9" s="608" t="s">
        <v>71</v>
      </c>
      <c r="W9" s="1222" t="s">
        <v>2323</v>
      </c>
    </row>
    <row r="10" spans="3:23" s="101" customFormat="1" ht="38.25">
      <c r="C10" s="436">
        <v>113608002</v>
      </c>
      <c r="D10" s="437" t="s">
        <v>146</v>
      </c>
      <c r="E10" s="64"/>
      <c r="F10" s="64"/>
      <c r="G10" s="64"/>
      <c r="H10" s="106"/>
      <c r="I10" s="106"/>
      <c r="J10" s="106"/>
      <c r="K10" s="106"/>
      <c r="L10" s="106"/>
      <c r="M10" s="106"/>
      <c r="N10" s="127"/>
      <c r="O10" s="712"/>
      <c r="P10" s="712"/>
      <c r="Q10" s="222"/>
      <c r="R10" s="222"/>
      <c r="S10" s="222"/>
      <c r="T10" s="222"/>
      <c r="U10" s="713"/>
      <c r="V10" s="713"/>
      <c r="W10" s="1224"/>
    </row>
    <row r="11" spans="3:23" ht="25.5">
      <c r="C11" s="438">
        <v>113608002000001</v>
      </c>
      <c r="D11" s="439" t="s">
        <v>837</v>
      </c>
      <c r="E11" s="64"/>
      <c r="F11" s="64"/>
      <c r="G11" s="64"/>
      <c r="H11" s="106"/>
      <c r="I11" s="106"/>
      <c r="J11" s="106"/>
      <c r="K11" s="106"/>
      <c r="L11" s="106"/>
      <c r="M11" s="106"/>
      <c r="N11" s="127"/>
      <c r="O11" s="712"/>
      <c r="P11" s="712"/>
      <c r="Q11" s="222"/>
      <c r="R11" s="222"/>
      <c r="S11" s="222"/>
      <c r="T11" s="222"/>
      <c r="U11" s="713"/>
      <c r="V11" s="713"/>
    </row>
    <row r="12" spans="3:23" ht="25.5">
      <c r="C12" s="64"/>
      <c r="D12" s="328">
        <v>120000000</v>
      </c>
      <c r="E12" s="440" t="s">
        <v>838</v>
      </c>
      <c r="F12" s="690" t="s">
        <v>14</v>
      </c>
      <c r="G12" s="441" t="s">
        <v>839</v>
      </c>
      <c r="H12" s="714">
        <v>90000000</v>
      </c>
      <c r="I12" s="109" t="s">
        <v>840</v>
      </c>
      <c r="J12" s="109" t="s">
        <v>841</v>
      </c>
      <c r="K12" s="109"/>
      <c r="L12" s="109">
        <v>0</v>
      </c>
      <c r="M12" s="109" t="s">
        <v>841</v>
      </c>
      <c r="N12" s="715">
        <v>120000000</v>
      </c>
      <c r="O12" s="716"/>
      <c r="P12" s="717" t="s">
        <v>1255</v>
      </c>
      <c r="Q12" s="56" t="s">
        <v>14</v>
      </c>
      <c r="R12" s="718" t="s">
        <v>1325</v>
      </c>
      <c r="S12" s="56" t="s">
        <v>1326</v>
      </c>
      <c r="T12" s="56" t="s">
        <v>1326</v>
      </c>
      <c r="U12" s="719" t="s">
        <v>14</v>
      </c>
      <c r="V12" s="719" t="s">
        <v>1327</v>
      </c>
      <c r="W12" s="1722">
        <f>36/37</f>
        <v>0.97297297297297303</v>
      </c>
    </row>
    <row r="13" spans="3:23" ht="25.5">
      <c r="C13" s="438">
        <v>113608002000003</v>
      </c>
      <c r="D13" s="439" t="s">
        <v>842</v>
      </c>
      <c r="E13" s="440"/>
      <c r="F13" s="690"/>
      <c r="G13" s="441"/>
      <c r="H13" s="714"/>
      <c r="I13" s="109"/>
      <c r="J13" s="109"/>
      <c r="K13" s="109"/>
      <c r="L13" s="109"/>
      <c r="M13" s="109"/>
      <c r="N13" s="715"/>
      <c r="O13" s="716"/>
      <c r="P13" s="712"/>
      <c r="Q13" s="56"/>
      <c r="R13" s="222"/>
      <c r="S13" s="56"/>
      <c r="T13" s="56"/>
      <c r="U13" s="719"/>
      <c r="V13" s="719"/>
      <c r="W13" s="1722"/>
    </row>
    <row r="14" spans="3:23" ht="22.5">
      <c r="C14" s="64"/>
      <c r="D14" s="328">
        <v>30000000</v>
      </c>
      <c r="E14" s="440" t="s">
        <v>843</v>
      </c>
      <c r="F14" s="690" t="s">
        <v>14</v>
      </c>
      <c r="G14" s="440" t="s">
        <v>844</v>
      </c>
      <c r="H14" s="714">
        <v>40000000</v>
      </c>
      <c r="I14" s="109" t="s">
        <v>845</v>
      </c>
      <c r="J14" s="109" t="s">
        <v>841</v>
      </c>
      <c r="K14" s="109"/>
      <c r="L14" s="109">
        <v>0</v>
      </c>
      <c r="M14" s="109" t="s">
        <v>841</v>
      </c>
      <c r="N14" s="715">
        <v>30000000</v>
      </c>
      <c r="O14" s="716"/>
      <c r="P14" s="717" t="s">
        <v>1256</v>
      </c>
      <c r="Q14" s="56" t="s">
        <v>14</v>
      </c>
      <c r="R14" s="718" t="s">
        <v>1325</v>
      </c>
      <c r="S14" s="56" t="s">
        <v>1328</v>
      </c>
      <c r="T14" s="56" t="s">
        <v>1328</v>
      </c>
      <c r="U14" s="719" t="s">
        <v>14</v>
      </c>
      <c r="V14" s="719" t="s">
        <v>1327</v>
      </c>
      <c r="W14" s="1722"/>
    </row>
    <row r="15" spans="3:23" ht="48.75" customHeight="1">
      <c r="C15" s="438">
        <v>113608002000004</v>
      </c>
      <c r="D15" s="439" t="s">
        <v>147</v>
      </c>
      <c r="E15" s="440"/>
      <c r="F15" s="690"/>
      <c r="G15" s="440"/>
      <c r="H15" s="714"/>
      <c r="I15" s="109"/>
      <c r="J15" s="109"/>
      <c r="K15" s="109"/>
      <c r="L15" s="109"/>
      <c r="M15" s="109"/>
      <c r="N15" s="715"/>
      <c r="O15" s="716"/>
      <c r="P15" s="712"/>
      <c r="Q15" s="56"/>
      <c r="R15" s="222"/>
      <c r="S15" s="56"/>
      <c r="T15" s="56"/>
      <c r="U15" s="719"/>
      <c r="V15" s="719"/>
      <c r="W15" s="1722"/>
    </row>
    <row r="16" spans="3:23" ht="50.25" customHeight="1">
      <c r="C16" s="64"/>
      <c r="D16" s="328">
        <v>60000000</v>
      </c>
      <c r="E16" s="442" t="s">
        <v>846</v>
      </c>
      <c r="F16" s="690" t="s">
        <v>14</v>
      </c>
      <c r="G16" s="442" t="s">
        <v>847</v>
      </c>
      <c r="H16" s="714">
        <v>80000000</v>
      </c>
      <c r="I16" s="109" t="s">
        <v>845</v>
      </c>
      <c r="J16" s="109" t="s">
        <v>841</v>
      </c>
      <c r="K16" s="109"/>
      <c r="L16" s="109">
        <v>0</v>
      </c>
      <c r="M16" s="109" t="s">
        <v>841</v>
      </c>
      <c r="N16" s="715">
        <v>60000000</v>
      </c>
      <c r="O16" s="716"/>
      <c r="P16" s="717" t="s">
        <v>1256</v>
      </c>
      <c r="Q16" s="56" t="s">
        <v>14</v>
      </c>
      <c r="R16" s="720" t="s">
        <v>1329</v>
      </c>
      <c r="S16" s="56" t="s">
        <v>1328</v>
      </c>
      <c r="T16" s="56" t="s">
        <v>1328</v>
      </c>
      <c r="U16" s="719" t="s">
        <v>14</v>
      </c>
      <c r="V16" s="719" t="s">
        <v>1327</v>
      </c>
      <c r="W16" s="1722"/>
    </row>
    <row r="17" spans="3:23" ht="61.5" customHeight="1">
      <c r="C17" s="64"/>
      <c r="D17" s="328">
        <v>60000000</v>
      </c>
      <c r="E17" s="442" t="s">
        <v>846</v>
      </c>
      <c r="F17" s="690" t="s">
        <v>14</v>
      </c>
      <c r="G17" s="442" t="s">
        <v>848</v>
      </c>
      <c r="H17" s="714">
        <v>60000000</v>
      </c>
      <c r="I17" s="109" t="s">
        <v>849</v>
      </c>
      <c r="J17" s="109" t="s">
        <v>840</v>
      </c>
      <c r="K17" s="109"/>
      <c r="L17" s="109">
        <v>0</v>
      </c>
      <c r="M17" s="109" t="s">
        <v>841</v>
      </c>
      <c r="N17" s="715">
        <v>60000000</v>
      </c>
      <c r="O17" s="716" t="s">
        <v>1257</v>
      </c>
      <c r="P17" s="717" t="s">
        <v>1258</v>
      </c>
      <c r="Q17" s="56" t="s">
        <v>161</v>
      </c>
      <c r="R17" s="720" t="s">
        <v>676</v>
      </c>
      <c r="S17" s="56" t="s">
        <v>1330</v>
      </c>
      <c r="T17" s="56" t="s">
        <v>1330</v>
      </c>
      <c r="U17" s="719" t="s">
        <v>1331</v>
      </c>
      <c r="V17" s="719" t="s">
        <v>1327</v>
      </c>
      <c r="W17" s="1722"/>
    </row>
    <row r="18" spans="3:23" ht="15">
      <c r="C18" s="443"/>
      <c r="D18" s="444">
        <f>D20+D27+D32+D42+D49+D55+D62</f>
        <v>3160384247</v>
      </c>
      <c r="E18" s="721">
        <v>3230000000</v>
      </c>
      <c r="F18" s="445">
        <f>E18-D18</f>
        <v>69615753</v>
      </c>
      <c r="G18" s="722"/>
      <c r="H18" s="714"/>
      <c r="I18" s="109"/>
      <c r="J18" s="109"/>
      <c r="K18" s="109"/>
      <c r="L18" s="109"/>
      <c r="M18" s="109"/>
      <c r="N18" s="715"/>
      <c r="O18" s="712"/>
      <c r="P18" s="712"/>
      <c r="Q18" s="222"/>
      <c r="R18" s="222"/>
      <c r="S18" s="222"/>
      <c r="T18" s="222"/>
      <c r="U18" s="713"/>
      <c r="V18" s="713"/>
      <c r="W18" s="1722"/>
    </row>
    <row r="19" spans="3:23" ht="30">
      <c r="C19" s="446">
        <v>113608003000001</v>
      </c>
      <c r="D19" s="447" t="s">
        <v>850</v>
      </c>
      <c r="E19" s="721"/>
      <c r="F19" s="109"/>
      <c r="G19" s="722"/>
      <c r="H19" s="714"/>
      <c r="I19" s="109"/>
      <c r="J19" s="109"/>
      <c r="K19" s="109"/>
      <c r="L19" s="109"/>
      <c r="M19" s="109"/>
      <c r="N19" s="715"/>
      <c r="O19" s="712"/>
      <c r="P19" s="712"/>
      <c r="Q19" s="222"/>
      <c r="R19" s="222"/>
      <c r="S19" s="222"/>
      <c r="T19" s="222"/>
      <c r="U19" s="713"/>
      <c r="V19" s="713"/>
      <c r="W19" s="1722"/>
    </row>
    <row r="20" spans="3:23" ht="15">
      <c r="C20" s="106"/>
      <c r="D20" s="448">
        <f>SUM(D21:D25)</f>
        <v>513237789</v>
      </c>
      <c r="E20" s="721"/>
      <c r="F20" s="109"/>
      <c r="G20" s="722"/>
      <c r="H20" s="714"/>
      <c r="I20" s="109"/>
      <c r="J20" s="109"/>
      <c r="K20" s="109"/>
      <c r="L20" s="109"/>
      <c r="M20" s="109"/>
      <c r="N20" s="715"/>
      <c r="O20" s="712"/>
      <c r="P20" s="712"/>
      <c r="Q20" s="222"/>
      <c r="R20" s="222"/>
      <c r="S20" s="222"/>
      <c r="T20" s="718"/>
      <c r="U20" s="713"/>
      <c r="V20" s="723"/>
      <c r="W20" s="1722"/>
    </row>
    <row r="21" spans="3:23" ht="38.25">
      <c r="C21" s="124"/>
      <c r="D21" s="724">
        <v>73394059</v>
      </c>
      <c r="E21" s="610" t="s">
        <v>851</v>
      </c>
      <c r="F21" s="690" t="s">
        <v>14</v>
      </c>
      <c r="G21" s="610" t="s">
        <v>852</v>
      </c>
      <c r="H21" s="609">
        <v>73982385</v>
      </c>
      <c r="I21" s="193" t="s">
        <v>853</v>
      </c>
      <c r="J21" s="193" t="s">
        <v>841</v>
      </c>
      <c r="K21" s="193"/>
      <c r="L21" s="193">
        <v>0</v>
      </c>
      <c r="M21" s="193" t="s">
        <v>1190</v>
      </c>
      <c r="N21" s="609">
        <v>73982385</v>
      </c>
      <c r="O21" s="725"/>
      <c r="P21" s="726" t="s">
        <v>1259</v>
      </c>
      <c r="Q21" s="56" t="s">
        <v>14</v>
      </c>
      <c r="R21" s="718" t="s">
        <v>1332</v>
      </c>
      <c r="S21" s="56"/>
      <c r="T21" s="727" t="s">
        <v>1333</v>
      </c>
      <c r="U21" s="728" t="s">
        <v>14</v>
      </c>
      <c r="V21" s="728" t="s">
        <v>1334</v>
      </c>
      <c r="W21" s="1722"/>
    </row>
    <row r="22" spans="3:23" ht="51.75" customHeight="1">
      <c r="C22" s="124"/>
      <c r="D22" s="729">
        <v>115072946</v>
      </c>
      <c r="E22" s="611" t="s">
        <v>854</v>
      </c>
      <c r="F22" s="690" t="s">
        <v>14</v>
      </c>
      <c r="G22" s="610" t="s">
        <v>855</v>
      </c>
      <c r="H22" s="450">
        <v>115995370</v>
      </c>
      <c r="I22" s="193" t="s">
        <v>853</v>
      </c>
      <c r="J22" s="193" t="s">
        <v>841</v>
      </c>
      <c r="K22" s="193"/>
      <c r="L22" s="193">
        <v>0</v>
      </c>
      <c r="M22" s="193" t="s">
        <v>1190</v>
      </c>
      <c r="N22" s="450">
        <v>115995370</v>
      </c>
      <c r="O22" s="725"/>
      <c r="P22" s="726" t="s">
        <v>1260</v>
      </c>
      <c r="Q22" s="56" t="s">
        <v>14</v>
      </c>
      <c r="R22" s="718" t="s">
        <v>1332</v>
      </c>
      <c r="S22" s="56"/>
      <c r="T22" s="727" t="s">
        <v>1335</v>
      </c>
      <c r="U22" s="728" t="s">
        <v>14</v>
      </c>
      <c r="V22" s="728" t="s">
        <v>1334</v>
      </c>
      <c r="W22" s="1722"/>
    </row>
    <row r="23" spans="3:23" ht="46.5" customHeight="1">
      <c r="C23" s="124"/>
      <c r="D23" s="729">
        <v>119772750</v>
      </c>
      <c r="E23" s="610" t="s">
        <v>856</v>
      </c>
      <c r="F23" s="690" t="s">
        <v>14</v>
      </c>
      <c r="G23" s="611" t="s">
        <v>857</v>
      </c>
      <c r="H23" s="450">
        <v>120732849</v>
      </c>
      <c r="I23" s="193" t="s">
        <v>849</v>
      </c>
      <c r="J23" s="193" t="s">
        <v>845</v>
      </c>
      <c r="K23" s="193"/>
      <c r="L23" s="193">
        <v>0</v>
      </c>
      <c r="M23" s="193" t="s">
        <v>1190</v>
      </c>
      <c r="N23" s="450">
        <v>120732849</v>
      </c>
      <c r="O23" s="725" t="s">
        <v>14</v>
      </c>
      <c r="P23" s="726" t="s">
        <v>1261</v>
      </c>
      <c r="Q23" s="56" t="s">
        <v>14</v>
      </c>
      <c r="R23" s="718" t="s">
        <v>1332</v>
      </c>
      <c r="S23" s="56"/>
      <c r="T23" s="727" t="s">
        <v>1335</v>
      </c>
      <c r="U23" s="728" t="s">
        <v>14</v>
      </c>
      <c r="V23" s="728" t="s">
        <v>1334</v>
      </c>
      <c r="W23" s="1722"/>
    </row>
    <row r="24" spans="3:23" ht="51" customHeight="1">
      <c r="C24" s="124"/>
      <c r="D24" s="729">
        <v>84120511</v>
      </c>
      <c r="E24" s="610" t="s">
        <v>859</v>
      </c>
      <c r="F24" s="690" t="s">
        <v>14</v>
      </c>
      <c r="G24" s="611" t="s">
        <v>860</v>
      </c>
      <c r="H24" s="450">
        <v>84794821</v>
      </c>
      <c r="I24" s="193" t="s">
        <v>853</v>
      </c>
      <c r="J24" s="193" t="s">
        <v>861</v>
      </c>
      <c r="K24" s="193"/>
      <c r="L24" s="193">
        <v>0</v>
      </c>
      <c r="M24" s="193" t="s">
        <v>1190</v>
      </c>
      <c r="N24" s="450">
        <v>84794821</v>
      </c>
      <c r="O24" s="725"/>
      <c r="P24" s="726" t="s">
        <v>1260</v>
      </c>
      <c r="Q24" s="56" t="s">
        <v>14</v>
      </c>
      <c r="R24" s="718" t="s">
        <v>1332</v>
      </c>
      <c r="S24" s="56"/>
      <c r="T24" s="727" t="s">
        <v>1335</v>
      </c>
      <c r="U24" s="728" t="s">
        <v>14</v>
      </c>
      <c r="V24" s="728" t="s">
        <v>1334</v>
      </c>
      <c r="W24" s="1722"/>
    </row>
    <row r="25" spans="3:23" ht="51.75" customHeight="1">
      <c r="C25" s="124"/>
      <c r="D25" s="729">
        <v>120877523</v>
      </c>
      <c r="E25" s="610" t="s">
        <v>862</v>
      </c>
      <c r="F25" s="690" t="s">
        <v>14</v>
      </c>
      <c r="G25" s="611" t="s">
        <v>863</v>
      </c>
      <c r="H25" s="450">
        <v>121846478</v>
      </c>
      <c r="I25" s="193" t="s">
        <v>849</v>
      </c>
      <c r="J25" s="193" t="s">
        <v>845</v>
      </c>
      <c r="K25" s="193"/>
      <c r="L25" s="193">
        <v>0</v>
      </c>
      <c r="M25" s="193" t="s">
        <v>1190</v>
      </c>
      <c r="N25" s="450">
        <v>121846478</v>
      </c>
      <c r="O25" s="725" t="s">
        <v>14</v>
      </c>
      <c r="P25" s="726" t="s">
        <v>1262</v>
      </c>
      <c r="Q25" s="56" t="s">
        <v>14</v>
      </c>
      <c r="R25" s="718" t="s">
        <v>1332</v>
      </c>
      <c r="S25" s="56"/>
      <c r="T25" s="727" t="s">
        <v>1335</v>
      </c>
      <c r="U25" s="728" t="s">
        <v>14</v>
      </c>
      <c r="V25" s="728" t="s">
        <v>1334</v>
      </c>
      <c r="W25" s="1722"/>
    </row>
    <row r="26" spans="3:23" ht="30">
      <c r="C26" s="612">
        <v>113608003000002</v>
      </c>
      <c r="D26" s="59" t="s">
        <v>739</v>
      </c>
      <c r="E26" s="613"/>
      <c r="F26" s="193"/>
      <c r="G26" s="614"/>
      <c r="H26" s="450"/>
      <c r="I26" s="193"/>
      <c r="J26" s="193"/>
      <c r="K26" s="193"/>
      <c r="L26" s="193"/>
      <c r="M26" s="193"/>
      <c r="N26" s="615"/>
      <c r="O26" s="730"/>
      <c r="P26" s="730"/>
      <c r="Q26" s="222"/>
      <c r="R26" s="222"/>
      <c r="S26" s="222"/>
      <c r="T26" s="731"/>
      <c r="U26" s="713"/>
      <c r="V26" s="713"/>
      <c r="W26" s="1722"/>
    </row>
    <row r="27" spans="3:23" ht="15">
      <c r="C27" s="612"/>
      <c r="D27" s="451">
        <f>SUM(D28:D30)</f>
        <v>248475042</v>
      </c>
      <c r="E27" s="732"/>
      <c r="F27" s="605"/>
      <c r="G27" s="733"/>
      <c r="H27" s="450"/>
      <c r="I27" s="193"/>
      <c r="J27" s="193"/>
      <c r="K27" s="193"/>
      <c r="L27" s="193"/>
      <c r="M27" s="193"/>
      <c r="N27" s="450"/>
      <c r="O27" s="730"/>
      <c r="P27" s="730"/>
      <c r="Q27" s="222"/>
      <c r="R27" s="222"/>
      <c r="S27" s="222"/>
      <c r="T27" s="734"/>
      <c r="U27" s="713"/>
      <c r="V27" s="735"/>
      <c r="W27" s="1722"/>
    </row>
    <row r="28" spans="3:23" ht="25.5">
      <c r="C28" s="612"/>
      <c r="D28" s="736">
        <v>124158858</v>
      </c>
      <c r="E28" s="610" t="s">
        <v>864</v>
      </c>
      <c r="F28" s="690" t="s">
        <v>14</v>
      </c>
      <c r="G28" s="610" t="s">
        <v>865</v>
      </c>
      <c r="H28" s="614">
        <v>125154115</v>
      </c>
      <c r="I28" s="193" t="s">
        <v>885</v>
      </c>
      <c r="J28" s="193" t="s">
        <v>841</v>
      </c>
      <c r="K28" s="193"/>
      <c r="L28" s="193">
        <v>0</v>
      </c>
      <c r="M28" s="193" t="s">
        <v>1190</v>
      </c>
      <c r="N28" s="614">
        <v>125154115</v>
      </c>
      <c r="O28" s="725"/>
      <c r="P28" s="726" t="s">
        <v>1263</v>
      </c>
      <c r="Q28" s="56" t="s">
        <v>37</v>
      </c>
      <c r="R28" s="718" t="s">
        <v>1336</v>
      </c>
      <c r="S28" s="56"/>
      <c r="T28" s="727" t="s">
        <v>1333</v>
      </c>
      <c r="U28" s="728" t="s">
        <v>14</v>
      </c>
      <c r="V28" s="728" t="s">
        <v>1334</v>
      </c>
      <c r="W28" s="1722"/>
    </row>
    <row r="29" spans="3:23" ht="47.25" customHeight="1">
      <c r="C29" s="612"/>
      <c r="D29" s="736">
        <v>124294050</v>
      </c>
      <c r="E29" s="610" t="s">
        <v>856</v>
      </c>
      <c r="F29" s="690" t="s">
        <v>14</v>
      </c>
      <c r="G29" s="610" t="s">
        <v>866</v>
      </c>
      <c r="H29" s="614">
        <v>125290390</v>
      </c>
      <c r="I29" s="193" t="s">
        <v>849</v>
      </c>
      <c r="J29" s="193" t="s">
        <v>841</v>
      </c>
      <c r="K29" s="193"/>
      <c r="L29" s="193">
        <v>0</v>
      </c>
      <c r="M29" s="193" t="s">
        <v>1190</v>
      </c>
      <c r="N29" s="614">
        <v>125290390</v>
      </c>
      <c r="O29" s="725" t="s">
        <v>14</v>
      </c>
      <c r="P29" s="726" t="s">
        <v>1264</v>
      </c>
      <c r="Q29" s="56" t="s">
        <v>14</v>
      </c>
      <c r="R29" s="718" t="s">
        <v>1332</v>
      </c>
      <c r="S29" s="56"/>
      <c r="T29" s="727" t="s">
        <v>1337</v>
      </c>
      <c r="U29" s="728" t="s">
        <v>14</v>
      </c>
      <c r="V29" s="728" t="s">
        <v>1334</v>
      </c>
      <c r="W29" s="1722"/>
    </row>
    <row r="30" spans="3:23" ht="32.25" customHeight="1">
      <c r="C30" s="612"/>
      <c r="D30" s="614">
        <v>22134</v>
      </c>
      <c r="E30" s="610" t="s">
        <v>1338</v>
      </c>
      <c r="F30" s="690"/>
      <c r="G30" s="610"/>
      <c r="H30" s="614">
        <v>22134</v>
      </c>
      <c r="I30" s="193"/>
      <c r="J30" s="193"/>
      <c r="K30" s="193"/>
      <c r="L30" s="193"/>
      <c r="M30" s="193"/>
      <c r="N30" s="614">
        <v>22134</v>
      </c>
      <c r="O30" s="725"/>
      <c r="P30" s="726"/>
      <c r="Q30" s="56"/>
      <c r="R30" s="718"/>
      <c r="S30" s="56"/>
      <c r="T30" s="727" t="s">
        <v>1339</v>
      </c>
      <c r="U30" s="719"/>
      <c r="V30" s="723"/>
      <c r="W30" s="1722"/>
    </row>
    <row r="31" spans="3:23" ht="15">
      <c r="C31" s="612">
        <v>113608003000003</v>
      </c>
      <c r="D31" s="59" t="s">
        <v>175</v>
      </c>
      <c r="E31" s="270"/>
      <c r="F31" s="690"/>
      <c r="G31" s="610"/>
      <c r="H31" s="450"/>
      <c r="I31" s="193"/>
      <c r="J31" s="193"/>
      <c r="K31" s="193"/>
      <c r="L31" s="193"/>
      <c r="M31" s="193"/>
      <c r="N31" s="615"/>
      <c r="O31" s="730"/>
      <c r="P31" s="730"/>
      <c r="Q31" s="222"/>
      <c r="R31" s="222"/>
      <c r="S31" s="222"/>
      <c r="T31" s="731"/>
      <c r="U31" s="713"/>
      <c r="V31" s="713"/>
      <c r="W31" s="1722"/>
    </row>
    <row r="32" spans="3:23" ht="15">
      <c r="C32" s="612"/>
      <c r="D32" s="451">
        <f>SUM(D33:D40)</f>
        <v>936779156</v>
      </c>
      <c r="E32" s="270">
        <v>384000000</v>
      </c>
      <c r="F32" s="449">
        <f>E32-D32</f>
        <v>-552779156</v>
      </c>
      <c r="G32" s="737"/>
      <c r="H32" s="450"/>
      <c r="I32" s="193"/>
      <c r="J32" s="193"/>
      <c r="K32" s="193"/>
      <c r="L32" s="193"/>
      <c r="M32" s="193"/>
      <c r="N32" s="450"/>
      <c r="O32" s="730"/>
      <c r="P32" s="730"/>
      <c r="Q32" s="222"/>
      <c r="R32" s="222"/>
      <c r="S32" s="222"/>
      <c r="T32" s="727"/>
      <c r="U32" s="713"/>
      <c r="V32" s="723"/>
      <c r="W32" s="1722"/>
    </row>
    <row r="33" spans="3:23" ht="25.5">
      <c r="C33" s="612"/>
      <c r="D33" s="729">
        <v>124928003</v>
      </c>
      <c r="E33" s="610" t="s">
        <v>867</v>
      </c>
      <c r="F33" s="690" t="s">
        <v>14</v>
      </c>
      <c r="G33" s="610" t="s">
        <v>868</v>
      </c>
      <c r="H33" s="450">
        <v>125425417</v>
      </c>
      <c r="I33" s="193" t="s">
        <v>845</v>
      </c>
      <c r="J33" s="193" t="s">
        <v>858</v>
      </c>
      <c r="K33" s="193"/>
      <c r="L33" s="193">
        <v>0</v>
      </c>
      <c r="M33" s="193" t="s">
        <v>889</v>
      </c>
      <c r="N33" s="450">
        <v>125425417</v>
      </c>
      <c r="O33" s="730"/>
      <c r="P33" s="726" t="s">
        <v>1263</v>
      </c>
      <c r="Q33" s="56" t="s">
        <v>14</v>
      </c>
      <c r="R33" s="718" t="s">
        <v>1336</v>
      </c>
      <c r="S33" s="56"/>
      <c r="T33" s="727" t="s">
        <v>1333</v>
      </c>
      <c r="U33" s="728" t="s">
        <v>14</v>
      </c>
      <c r="V33" s="728" t="s">
        <v>1334</v>
      </c>
      <c r="W33" s="1722"/>
    </row>
    <row r="34" spans="3:23" ht="52.5" customHeight="1">
      <c r="C34" s="612"/>
      <c r="D34" s="729">
        <v>125288781</v>
      </c>
      <c r="E34" s="610" t="s">
        <v>862</v>
      </c>
      <c r="F34" s="690" t="s">
        <v>14</v>
      </c>
      <c r="G34" s="610" t="s">
        <v>869</v>
      </c>
      <c r="H34" s="450">
        <v>126293095</v>
      </c>
      <c r="I34" s="193" t="s">
        <v>845</v>
      </c>
      <c r="J34" s="193" t="s">
        <v>858</v>
      </c>
      <c r="K34" s="193"/>
      <c r="L34" s="193">
        <v>0</v>
      </c>
      <c r="M34" s="193" t="s">
        <v>889</v>
      </c>
      <c r="N34" s="450">
        <v>126293095</v>
      </c>
      <c r="O34" s="725"/>
      <c r="P34" s="726" t="s">
        <v>1263</v>
      </c>
      <c r="Q34" s="56" t="s">
        <v>14</v>
      </c>
      <c r="R34" s="718" t="s">
        <v>1336</v>
      </c>
      <c r="S34" s="56"/>
      <c r="T34" s="727" t="s">
        <v>1333</v>
      </c>
      <c r="U34" s="728" t="s">
        <v>14</v>
      </c>
      <c r="V34" s="728" t="s">
        <v>1334</v>
      </c>
      <c r="W34" s="1722"/>
    </row>
    <row r="35" spans="3:23" ht="47.25" customHeight="1">
      <c r="C35" s="612"/>
      <c r="D35" s="729">
        <v>124154542</v>
      </c>
      <c r="E35" s="610" t="s">
        <v>864</v>
      </c>
      <c r="F35" s="690" t="s">
        <v>14</v>
      </c>
      <c r="G35" s="610" t="s">
        <v>870</v>
      </c>
      <c r="H35" s="450">
        <v>125149764</v>
      </c>
      <c r="I35" s="193" t="s">
        <v>845</v>
      </c>
      <c r="J35" s="193" t="s">
        <v>841</v>
      </c>
      <c r="K35" s="193"/>
      <c r="L35" s="193">
        <v>0</v>
      </c>
      <c r="M35" s="193" t="s">
        <v>889</v>
      </c>
      <c r="N35" s="450">
        <v>125149764</v>
      </c>
      <c r="O35" s="725"/>
      <c r="P35" s="726" t="s">
        <v>1263</v>
      </c>
      <c r="Q35" s="56" t="s">
        <v>37</v>
      </c>
      <c r="R35" s="718" t="s">
        <v>1336</v>
      </c>
      <c r="S35" s="56"/>
      <c r="T35" s="727" t="s">
        <v>1333</v>
      </c>
      <c r="U35" s="728" t="s">
        <v>14</v>
      </c>
      <c r="V35" s="728" t="s">
        <v>1334</v>
      </c>
      <c r="W35" s="1722"/>
    </row>
    <row r="36" spans="3:23" ht="50.25" customHeight="1">
      <c r="C36" s="612"/>
      <c r="D36" s="736">
        <v>124294050</v>
      </c>
      <c r="E36" s="610" t="s">
        <v>871</v>
      </c>
      <c r="F36" s="690" t="s">
        <v>14</v>
      </c>
      <c r="G36" s="610" t="s">
        <v>872</v>
      </c>
      <c r="H36" s="614">
        <v>125290390</v>
      </c>
      <c r="I36" s="193" t="s">
        <v>849</v>
      </c>
      <c r="J36" s="193" t="s">
        <v>845</v>
      </c>
      <c r="K36" s="193"/>
      <c r="L36" s="193">
        <v>0</v>
      </c>
      <c r="M36" s="193" t="s">
        <v>858</v>
      </c>
      <c r="N36" s="614">
        <v>125290390</v>
      </c>
      <c r="O36" s="725" t="s">
        <v>14</v>
      </c>
      <c r="P36" s="726" t="s">
        <v>1265</v>
      </c>
      <c r="Q36" s="56" t="s">
        <v>14</v>
      </c>
      <c r="R36" s="718" t="s">
        <v>1332</v>
      </c>
      <c r="S36" s="56"/>
      <c r="T36" s="727" t="s">
        <v>1335</v>
      </c>
      <c r="U36" s="728" t="s">
        <v>14</v>
      </c>
      <c r="V36" s="728" t="s">
        <v>1334</v>
      </c>
      <c r="W36" s="1722"/>
    </row>
    <row r="37" spans="3:23" ht="50.25" customHeight="1">
      <c r="C37" s="612"/>
      <c r="D37" s="729">
        <v>125331504</v>
      </c>
      <c r="E37" s="610" t="s">
        <v>1266</v>
      </c>
      <c r="F37" s="690" t="s">
        <v>14</v>
      </c>
      <c r="G37" s="610" t="s">
        <v>1267</v>
      </c>
      <c r="H37" s="450">
        <v>126336161</v>
      </c>
      <c r="I37" s="193" t="s">
        <v>845</v>
      </c>
      <c r="J37" s="193" t="s">
        <v>841</v>
      </c>
      <c r="K37" s="193"/>
      <c r="L37" s="193">
        <v>0</v>
      </c>
      <c r="M37" s="193" t="s">
        <v>889</v>
      </c>
      <c r="N37" s="450">
        <v>126336161</v>
      </c>
      <c r="O37" s="725"/>
      <c r="P37" s="726" t="s">
        <v>1263</v>
      </c>
      <c r="Q37" s="56" t="s">
        <v>37</v>
      </c>
      <c r="R37" s="718" t="s">
        <v>1336</v>
      </c>
      <c r="S37" s="56"/>
      <c r="T37" s="727" t="s">
        <v>1340</v>
      </c>
      <c r="U37" s="728" t="s">
        <v>14</v>
      </c>
      <c r="V37" s="728" t="s">
        <v>1334</v>
      </c>
      <c r="W37" s="1722"/>
    </row>
    <row r="38" spans="3:23" ht="50.25" customHeight="1">
      <c r="C38" s="612"/>
      <c r="D38" s="729">
        <v>126245400</v>
      </c>
      <c r="E38" s="610" t="s">
        <v>886</v>
      </c>
      <c r="F38" s="690" t="s">
        <v>14</v>
      </c>
      <c r="G38" s="610" t="s">
        <v>1268</v>
      </c>
      <c r="H38" s="450">
        <v>127257383</v>
      </c>
      <c r="I38" s="193" t="s">
        <v>845</v>
      </c>
      <c r="J38" s="193" t="s">
        <v>858</v>
      </c>
      <c r="K38" s="193"/>
      <c r="L38" s="193">
        <v>0</v>
      </c>
      <c r="M38" s="193" t="s">
        <v>889</v>
      </c>
      <c r="N38" s="450">
        <v>127257383</v>
      </c>
      <c r="O38" s="725"/>
      <c r="P38" s="726" t="s">
        <v>1263</v>
      </c>
      <c r="Q38" s="56" t="s">
        <v>14</v>
      </c>
      <c r="R38" s="718" t="s">
        <v>1332</v>
      </c>
      <c r="S38" s="56"/>
      <c r="T38" s="727" t="s">
        <v>1335</v>
      </c>
      <c r="U38" s="728" t="s">
        <v>14</v>
      </c>
      <c r="V38" s="728" t="s">
        <v>1334</v>
      </c>
      <c r="W38" s="1722"/>
    </row>
    <row r="39" spans="3:23" ht="50.25" customHeight="1">
      <c r="C39" s="612"/>
      <c r="D39" s="729">
        <v>61401962</v>
      </c>
      <c r="E39" s="610" t="s">
        <v>886</v>
      </c>
      <c r="F39" s="690" t="s">
        <v>14</v>
      </c>
      <c r="G39" s="610" t="s">
        <v>1341</v>
      </c>
      <c r="H39" s="450">
        <v>62902176</v>
      </c>
      <c r="I39" s="193"/>
      <c r="J39" s="193"/>
      <c r="K39" s="193"/>
      <c r="L39" s="193"/>
      <c r="M39" s="193"/>
      <c r="N39" s="450">
        <v>62902176</v>
      </c>
      <c r="O39" s="725"/>
      <c r="P39" s="726"/>
      <c r="Q39" s="56"/>
      <c r="R39" s="718"/>
      <c r="S39" s="56"/>
      <c r="T39" s="727" t="s">
        <v>1335</v>
      </c>
      <c r="U39" s="728" t="s">
        <v>14</v>
      </c>
      <c r="V39" s="728" t="s">
        <v>1334</v>
      </c>
      <c r="W39" s="1722"/>
    </row>
    <row r="40" spans="3:23" ht="50.25" customHeight="1">
      <c r="C40" s="612"/>
      <c r="D40" s="729">
        <v>125134914</v>
      </c>
      <c r="E40" s="610" t="s">
        <v>890</v>
      </c>
      <c r="F40" s="690" t="s">
        <v>14</v>
      </c>
      <c r="G40" s="610" t="s">
        <v>1269</v>
      </c>
      <c r="H40" s="450">
        <v>126137995</v>
      </c>
      <c r="I40" s="193" t="s">
        <v>845</v>
      </c>
      <c r="J40" s="193" t="s">
        <v>841</v>
      </c>
      <c r="K40" s="193"/>
      <c r="L40" s="193">
        <v>0</v>
      </c>
      <c r="M40" s="193" t="s">
        <v>889</v>
      </c>
      <c r="N40" s="450">
        <v>126137995</v>
      </c>
      <c r="O40" s="725"/>
      <c r="P40" s="726" t="s">
        <v>1263</v>
      </c>
      <c r="Q40" s="56" t="s">
        <v>14</v>
      </c>
      <c r="R40" s="718" t="s">
        <v>1332</v>
      </c>
      <c r="S40" s="56"/>
      <c r="T40" s="727" t="s">
        <v>1340</v>
      </c>
      <c r="U40" s="728" t="s">
        <v>14</v>
      </c>
      <c r="V40" s="728" t="s">
        <v>1334</v>
      </c>
      <c r="W40" s="1722"/>
    </row>
    <row r="41" spans="3:23" ht="30">
      <c r="C41" s="612">
        <v>113608003000004</v>
      </c>
      <c r="D41" s="59" t="s">
        <v>179</v>
      </c>
      <c r="E41" s="270"/>
      <c r="F41" s="690"/>
      <c r="G41" s="610"/>
      <c r="H41" s="450"/>
      <c r="I41" s="193"/>
      <c r="J41" s="193"/>
      <c r="K41" s="193"/>
      <c r="L41" s="193"/>
      <c r="M41" s="193"/>
      <c r="N41" s="615"/>
      <c r="O41" s="730"/>
      <c r="P41" s="730"/>
      <c r="Q41" s="222"/>
      <c r="R41" s="222"/>
      <c r="S41" s="222"/>
      <c r="T41" s="731"/>
      <c r="U41" s="713"/>
      <c r="V41" s="713"/>
      <c r="W41" s="1722"/>
    </row>
    <row r="42" spans="3:23" ht="15">
      <c r="C42" s="612"/>
      <c r="D42" s="451">
        <f>SUM(D43:D47)</f>
        <v>582975948</v>
      </c>
      <c r="E42" s="738"/>
      <c r="F42" s="739"/>
      <c r="G42" s="740"/>
      <c r="H42" s="450"/>
      <c r="I42" s="193"/>
      <c r="J42" s="193"/>
      <c r="K42" s="193"/>
      <c r="L42" s="193"/>
      <c r="M42" s="193"/>
      <c r="N42" s="615"/>
      <c r="O42" s="730"/>
      <c r="P42" s="730"/>
      <c r="Q42" s="222"/>
      <c r="R42" s="222"/>
      <c r="S42" s="222"/>
      <c r="T42" s="727"/>
      <c r="U42" s="713"/>
      <c r="V42" s="723"/>
      <c r="W42" s="1722"/>
    </row>
    <row r="43" spans="3:23" ht="60">
      <c r="C43" s="612"/>
      <c r="D43" s="729">
        <v>123472199</v>
      </c>
      <c r="E43" s="610" t="s">
        <v>873</v>
      </c>
      <c r="F43" s="690" t="s">
        <v>14</v>
      </c>
      <c r="G43" s="616" t="s">
        <v>874</v>
      </c>
      <c r="H43" s="450">
        <v>124461952</v>
      </c>
      <c r="I43" s="193" t="s">
        <v>11</v>
      </c>
      <c r="J43" s="193" t="s">
        <v>853</v>
      </c>
      <c r="K43" s="193"/>
      <c r="L43" s="193">
        <v>0</v>
      </c>
      <c r="M43" s="193" t="s">
        <v>875</v>
      </c>
      <c r="N43" s="450">
        <v>124461952</v>
      </c>
      <c r="O43" s="725" t="s">
        <v>14</v>
      </c>
      <c r="P43" s="726" t="s">
        <v>1270</v>
      </c>
      <c r="Q43" s="56" t="s">
        <v>14</v>
      </c>
      <c r="R43" s="718" t="s">
        <v>1342</v>
      </c>
      <c r="S43" s="56"/>
      <c r="T43" s="727" t="s">
        <v>1340</v>
      </c>
      <c r="U43" s="728" t="s">
        <v>14</v>
      </c>
      <c r="V43" s="728" t="s">
        <v>1334</v>
      </c>
      <c r="W43" s="1722"/>
    </row>
    <row r="44" spans="3:23" ht="60">
      <c r="C44" s="612"/>
      <c r="D44" s="729">
        <v>121638940</v>
      </c>
      <c r="E44" s="610" t="s">
        <v>876</v>
      </c>
      <c r="F44" s="690" t="s">
        <v>14</v>
      </c>
      <c r="G44" s="616" t="s">
        <v>877</v>
      </c>
      <c r="H44" s="450">
        <v>122613997</v>
      </c>
      <c r="I44" s="193" t="s">
        <v>11</v>
      </c>
      <c r="J44" s="193" t="s">
        <v>853</v>
      </c>
      <c r="K44" s="193"/>
      <c r="L44" s="193">
        <v>0</v>
      </c>
      <c r="M44" s="193" t="s">
        <v>875</v>
      </c>
      <c r="N44" s="450">
        <v>122613997</v>
      </c>
      <c r="O44" s="725" t="s">
        <v>14</v>
      </c>
      <c r="P44" s="726" t="s">
        <v>1271</v>
      </c>
      <c r="Q44" s="56" t="s">
        <v>14</v>
      </c>
      <c r="R44" s="718" t="s">
        <v>1342</v>
      </c>
      <c r="S44" s="56"/>
      <c r="T44" s="727" t="s">
        <v>1340</v>
      </c>
      <c r="U44" s="728" t="s">
        <v>14</v>
      </c>
      <c r="V44" s="728" t="s">
        <v>1334</v>
      </c>
      <c r="W44" s="1722"/>
    </row>
    <row r="45" spans="3:23" ht="57.75" customHeight="1">
      <c r="C45" s="612"/>
      <c r="D45" s="729">
        <v>111573527</v>
      </c>
      <c r="E45" s="611" t="s">
        <v>878</v>
      </c>
      <c r="F45" s="690" t="s">
        <v>14</v>
      </c>
      <c r="G45" s="616" t="s">
        <v>879</v>
      </c>
      <c r="H45" s="450">
        <v>112467940</v>
      </c>
      <c r="I45" s="193" t="s">
        <v>11</v>
      </c>
      <c r="J45" s="193" t="s">
        <v>853</v>
      </c>
      <c r="K45" s="193"/>
      <c r="L45" s="193">
        <v>0</v>
      </c>
      <c r="M45" s="193" t="s">
        <v>875</v>
      </c>
      <c r="N45" s="450">
        <v>112467940</v>
      </c>
      <c r="O45" s="725" t="s">
        <v>14</v>
      </c>
      <c r="P45" s="726" t="s">
        <v>1272</v>
      </c>
      <c r="Q45" s="56" t="s">
        <v>14</v>
      </c>
      <c r="R45" s="718" t="s">
        <v>1342</v>
      </c>
      <c r="S45" s="56"/>
      <c r="T45" s="727" t="s">
        <v>1340</v>
      </c>
      <c r="U45" s="728" t="s">
        <v>14</v>
      </c>
      <c r="V45" s="728" t="s">
        <v>1334</v>
      </c>
      <c r="W45" s="1722"/>
    </row>
    <row r="46" spans="3:23" ht="60">
      <c r="C46" s="612"/>
      <c r="D46" s="729">
        <v>124436204</v>
      </c>
      <c r="E46" s="610" t="s">
        <v>880</v>
      </c>
      <c r="F46" s="690" t="s">
        <v>14</v>
      </c>
      <c r="G46" s="616" t="s">
        <v>881</v>
      </c>
      <c r="H46" s="450">
        <v>125433684</v>
      </c>
      <c r="I46" s="193" t="s">
        <v>11</v>
      </c>
      <c r="J46" s="193" t="s">
        <v>853</v>
      </c>
      <c r="K46" s="193"/>
      <c r="L46" s="193">
        <v>0</v>
      </c>
      <c r="M46" s="193" t="s">
        <v>875</v>
      </c>
      <c r="N46" s="450">
        <v>125433684</v>
      </c>
      <c r="O46" s="725" t="s">
        <v>14</v>
      </c>
      <c r="P46" s="726" t="s">
        <v>1273</v>
      </c>
      <c r="Q46" s="56" t="s">
        <v>14</v>
      </c>
      <c r="R46" s="718" t="s">
        <v>1342</v>
      </c>
      <c r="S46" s="56"/>
      <c r="T46" s="727" t="s">
        <v>1340</v>
      </c>
      <c r="U46" s="728" t="s">
        <v>14</v>
      </c>
      <c r="V46" s="728" t="s">
        <v>1334</v>
      </c>
      <c r="W46" s="1722"/>
    </row>
    <row r="47" spans="3:23" ht="60">
      <c r="C47" s="612"/>
      <c r="D47" s="729">
        <v>101855078</v>
      </c>
      <c r="E47" s="610" t="s">
        <v>882</v>
      </c>
      <c r="F47" s="690" t="s">
        <v>14</v>
      </c>
      <c r="G47" s="616" t="s">
        <v>883</v>
      </c>
      <c r="H47" s="450">
        <v>102671547</v>
      </c>
      <c r="I47" s="193" t="s">
        <v>11</v>
      </c>
      <c r="J47" s="193" t="s">
        <v>853</v>
      </c>
      <c r="K47" s="193"/>
      <c r="L47" s="193">
        <v>0</v>
      </c>
      <c r="M47" s="193" t="s">
        <v>875</v>
      </c>
      <c r="N47" s="450">
        <v>102671547</v>
      </c>
      <c r="O47" s="725" t="s">
        <v>14</v>
      </c>
      <c r="P47" s="726" t="s">
        <v>1271</v>
      </c>
      <c r="Q47" s="56" t="s">
        <v>14</v>
      </c>
      <c r="R47" s="718" t="s">
        <v>1342</v>
      </c>
      <c r="S47" s="56"/>
      <c r="T47" s="727" t="s">
        <v>1340</v>
      </c>
      <c r="U47" s="728" t="s">
        <v>14</v>
      </c>
      <c r="V47" s="728" t="s">
        <v>1334</v>
      </c>
      <c r="W47" s="1722"/>
    </row>
    <row r="48" spans="3:23" ht="43.5" customHeight="1">
      <c r="C48" s="612">
        <v>113608003000005</v>
      </c>
      <c r="D48" s="59" t="s">
        <v>884</v>
      </c>
      <c r="E48" s="613"/>
      <c r="F48" s="193"/>
      <c r="G48" s="616"/>
      <c r="H48" s="450"/>
      <c r="I48" s="193"/>
      <c r="J48" s="193"/>
      <c r="K48" s="193"/>
      <c r="L48" s="193"/>
      <c r="M48" s="193"/>
      <c r="N48" s="615"/>
      <c r="O48" s="730"/>
      <c r="P48" s="730"/>
      <c r="Q48" s="222"/>
      <c r="R48" s="222"/>
      <c r="S48" s="222"/>
      <c r="T48" s="731"/>
      <c r="U48" s="713"/>
      <c r="V48" s="713"/>
      <c r="W48" s="1722"/>
    </row>
    <row r="49" spans="3:23" ht="24.75" customHeight="1">
      <c r="C49" s="612"/>
      <c r="D49" s="451">
        <f>SUM(D50:D53)</f>
        <v>331821582</v>
      </c>
      <c r="E49" s="732"/>
      <c r="F49" s="605"/>
      <c r="G49" s="741"/>
      <c r="H49" s="450"/>
      <c r="I49" s="193"/>
      <c r="J49" s="193"/>
      <c r="K49" s="193"/>
      <c r="L49" s="193"/>
      <c r="M49" s="193"/>
      <c r="N49" s="615"/>
      <c r="O49" s="730"/>
      <c r="P49" s="730"/>
      <c r="Q49" s="222"/>
      <c r="R49" s="222"/>
      <c r="S49" s="222"/>
      <c r="T49" s="727"/>
      <c r="U49" s="713"/>
      <c r="V49" s="723"/>
      <c r="W49" s="1722"/>
    </row>
    <row r="50" spans="3:23" ht="25.5">
      <c r="C50" s="612"/>
      <c r="D50" s="729">
        <v>93938205</v>
      </c>
      <c r="E50" s="742" t="s">
        <v>1343</v>
      </c>
      <c r="F50" s="690" t="s">
        <v>14</v>
      </c>
      <c r="G50" s="742" t="s">
        <v>1344</v>
      </c>
      <c r="H50" s="450">
        <v>94691213</v>
      </c>
      <c r="I50" s="193" t="s">
        <v>861</v>
      </c>
      <c r="J50" s="193" t="s">
        <v>1190</v>
      </c>
      <c r="K50" s="193"/>
      <c r="L50" s="193">
        <v>0</v>
      </c>
      <c r="M50" s="193" t="s">
        <v>1191</v>
      </c>
      <c r="N50" s="450">
        <v>94691213</v>
      </c>
      <c r="O50" s="725"/>
      <c r="P50" s="726" t="s">
        <v>1274</v>
      </c>
      <c r="Q50" s="56" t="s">
        <v>14</v>
      </c>
      <c r="R50" s="718" t="s">
        <v>1336</v>
      </c>
      <c r="S50" s="56"/>
      <c r="T50" s="727" t="s">
        <v>1340</v>
      </c>
      <c r="U50" s="728" t="s">
        <v>14</v>
      </c>
      <c r="V50" s="728" t="s">
        <v>1334</v>
      </c>
      <c r="W50" s="1722"/>
    </row>
    <row r="51" spans="3:23" ht="25.5">
      <c r="C51" s="612"/>
      <c r="D51" s="729">
        <v>72109275</v>
      </c>
      <c r="E51" s="742" t="s">
        <v>888</v>
      </c>
      <c r="F51" s="690" t="s">
        <v>14</v>
      </c>
      <c r="G51" s="742" t="s">
        <v>1345</v>
      </c>
      <c r="H51" s="450">
        <v>72687302</v>
      </c>
      <c r="I51" s="193" t="s">
        <v>861</v>
      </c>
      <c r="J51" s="193" t="s">
        <v>1190</v>
      </c>
      <c r="K51" s="193"/>
      <c r="L51" s="193">
        <v>0</v>
      </c>
      <c r="M51" s="193" t="s">
        <v>1191</v>
      </c>
      <c r="N51" s="450">
        <v>72687302</v>
      </c>
      <c r="O51" s="725"/>
      <c r="P51" s="726" t="s">
        <v>1274</v>
      </c>
      <c r="Q51" s="56" t="s">
        <v>14</v>
      </c>
      <c r="R51" s="718" t="s">
        <v>1346</v>
      </c>
      <c r="S51" s="56"/>
      <c r="T51" s="727" t="s">
        <v>1340</v>
      </c>
      <c r="U51" s="728" t="s">
        <v>14</v>
      </c>
      <c r="V51" s="728" t="s">
        <v>1334</v>
      </c>
      <c r="W51" s="1722"/>
    </row>
    <row r="52" spans="3:23" ht="51">
      <c r="C52" s="612"/>
      <c r="D52" s="729">
        <v>93181514</v>
      </c>
      <c r="E52" s="743" t="s">
        <v>1347</v>
      </c>
      <c r="F52" s="690" t="s">
        <v>14</v>
      </c>
      <c r="G52" s="742" t="s">
        <v>1348</v>
      </c>
      <c r="H52" s="450">
        <v>93928641</v>
      </c>
      <c r="I52" s="193" t="s">
        <v>861</v>
      </c>
      <c r="J52" s="193" t="s">
        <v>1190</v>
      </c>
      <c r="K52" s="193"/>
      <c r="L52" s="193">
        <v>0</v>
      </c>
      <c r="M52" s="193" t="s">
        <v>1191</v>
      </c>
      <c r="N52" s="450">
        <v>93928641</v>
      </c>
      <c r="O52" s="725"/>
      <c r="P52" s="726" t="s">
        <v>1274</v>
      </c>
      <c r="Q52" s="56" t="s">
        <v>14</v>
      </c>
      <c r="R52" s="718" t="s">
        <v>1346</v>
      </c>
      <c r="S52" s="56"/>
      <c r="T52" s="727" t="s">
        <v>1340</v>
      </c>
      <c r="U52" s="728" t="s">
        <v>14</v>
      </c>
      <c r="V52" s="728" t="s">
        <v>1334</v>
      </c>
      <c r="W52" s="1722"/>
    </row>
    <row r="53" spans="3:23" ht="43.5" customHeight="1">
      <c r="C53" s="612"/>
      <c r="D53" s="729">
        <v>72592588</v>
      </c>
      <c r="E53" s="743" t="s">
        <v>1349</v>
      </c>
      <c r="F53" s="690" t="s">
        <v>14</v>
      </c>
      <c r="G53" s="742" t="s">
        <v>1350</v>
      </c>
      <c r="H53" s="450">
        <v>74219390.783999994</v>
      </c>
      <c r="I53" s="193" t="s">
        <v>145</v>
      </c>
      <c r="J53" s="193" t="s">
        <v>1191</v>
      </c>
      <c r="K53" s="193"/>
      <c r="L53" s="193"/>
      <c r="M53" s="193" t="s">
        <v>1351</v>
      </c>
      <c r="N53" s="450">
        <v>74219390.783999994</v>
      </c>
      <c r="O53" s="725"/>
      <c r="P53" s="726" t="s">
        <v>1274</v>
      </c>
      <c r="Q53" s="56" t="s">
        <v>14</v>
      </c>
      <c r="R53" s="718" t="s">
        <v>1346</v>
      </c>
      <c r="S53" s="56"/>
      <c r="T53" s="727" t="s">
        <v>1352</v>
      </c>
      <c r="U53" s="728" t="s">
        <v>14</v>
      </c>
      <c r="V53" s="728" t="s">
        <v>1334</v>
      </c>
      <c r="W53" s="1722"/>
    </row>
    <row r="54" spans="3:23" ht="30">
      <c r="C54" s="612">
        <v>113608003000006</v>
      </c>
      <c r="D54" s="59" t="s">
        <v>180</v>
      </c>
      <c r="E54" s="613"/>
      <c r="F54" s="193"/>
      <c r="G54" s="616"/>
      <c r="H54" s="450"/>
      <c r="I54" s="193"/>
      <c r="J54" s="193"/>
      <c r="K54" s="193"/>
      <c r="L54" s="193"/>
      <c r="M54" s="193"/>
      <c r="N54" s="615"/>
      <c r="O54" s="730"/>
      <c r="P54" s="730"/>
      <c r="Q54" s="222"/>
      <c r="R54" s="222"/>
      <c r="S54" s="222"/>
      <c r="T54" s="731"/>
      <c r="U54" s="713"/>
      <c r="V54" s="713"/>
      <c r="W54" s="1722"/>
    </row>
    <row r="55" spans="3:23" ht="15">
      <c r="C55" s="612"/>
      <c r="D55" s="451">
        <f>SUM(D56:D60)</f>
        <v>473226232</v>
      </c>
      <c r="E55" s="732"/>
      <c r="F55" s="605"/>
      <c r="G55" s="741"/>
      <c r="H55" s="450"/>
      <c r="I55" s="193"/>
      <c r="J55" s="193"/>
      <c r="K55" s="193"/>
      <c r="L55" s="193"/>
      <c r="M55" s="193"/>
      <c r="N55" s="615"/>
      <c r="O55" s="730"/>
      <c r="P55" s="730"/>
      <c r="Q55" s="222"/>
      <c r="R55" s="222"/>
      <c r="S55" s="222"/>
      <c r="T55" s="727"/>
      <c r="U55" s="713"/>
      <c r="V55" s="723"/>
      <c r="W55" s="1722"/>
    </row>
    <row r="56" spans="3:23" ht="38.25">
      <c r="C56" s="612"/>
      <c r="D56" s="729">
        <v>113436110</v>
      </c>
      <c r="E56" s="742" t="s">
        <v>1353</v>
      </c>
      <c r="F56" s="690" t="s">
        <v>14</v>
      </c>
      <c r="G56" s="744" t="s">
        <v>1354</v>
      </c>
      <c r="H56" s="450">
        <v>114345413.41599999</v>
      </c>
      <c r="I56" s="193" t="s">
        <v>845</v>
      </c>
      <c r="J56" s="193" t="s">
        <v>841</v>
      </c>
      <c r="K56" s="193"/>
      <c r="L56" s="193">
        <v>0</v>
      </c>
      <c r="M56" s="193" t="s">
        <v>889</v>
      </c>
      <c r="N56" s="450">
        <v>114345413.41599999</v>
      </c>
      <c r="O56" s="725"/>
      <c r="P56" s="726" t="s">
        <v>1263</v>
      </c>
      <c r="Q56" s="56" t="s">
        <v>37</v>
      </c>
      <c r="R56" s="718" t="s">
        <v>1346</v>
      </c>
      <c r="S56" s="56"/>
      <c r="T56" s="727" t="s">
        <v>1333</v>
      </c>
      <c r="U56" s="728" t="s">
        <v>14</v>
      </c>
      <c r="V56" s="728" t="s">
        <v>1334</v>
      </c>
      <c r="W56" s="1722"/>
    </row>
    <row r="57" spans="3:23" ht="38.25">
      <c r="C57" s="612"/>
      <c r="D57" s="729">
        <v>126424343</v>
      </c>
      <c r="E57" s="743" t="s">
        <v>886</v>
      </c>
      <c r="F57" s="690" t="s">
        <v>14</v>
      </c>
      <c r="G57" s="744" t="s">
        <v>1355</v>
      </c>
      <c r="H57" s="450">
        <v>128867037</v>
      </c>
      <c r="I57" s="193" t="s">
        <v>861</v>
      </c>
      <c r="J57" s="193" t="s">
        <v>1191</v>
      </c>
      <c r="K57" s="193"/>
      <c r="L57" s="193">
        <v>0</v>
      </c>
      <c r="M57" s="193" t="s">
        <v>1351</v>
      </c>
      <c r="N57" s="450">
        <v>128867037</v>
      </c>
      <c r="O57" s="725"/>
      <c r="P57" s="726" t="s">
        <v>1274</v>
      </c>
      <c r="Q57" s="56" t="s">
        <v>14</v>
      </c>
      <c r="R57" s="718" t="s">
        <v>1346</v>
      </c>
      <c r="S57" s="56"/>
      <c r="T57" s="727" t="s">
        <v>1356</v>
      </c>
      <c r="U57" s="728" t="s">
        <v>14</v>
      </c>
      <c r="V57" s="728" t="s">
        <v>1334</v>
      </c>
      <c r="W57" s="1722"/>
    </row>
    <row r="58" spans="3:23" ht="25.5">
      <c r="C58" s="612"/>
      <c r="D58" s="729">
        <v>59831326</v>
      </c>
      <c r="E58" s="743" t="s">
        <v>1357</v>
      </c>
      <c r="F58" s="690" t="s">
        <v>14</v>
      </c>
      <c r="G58" s="744" t="s">
        <v>1358</v>
      </c>
      <c r="H58" s="450">
        <v>60070651</v>
      </c>
      <c r="I58" s="193" t="s">
        <v>861</v>
      </c>
      <c r="J58" s="193" t="s">
        <v>145</v>
      </c>
      <c r="K58" s="193"/>
      <c r="L58" s="193">
        <v>0</v>
      </c>
      <c r="M58" s="193" t="s">
        <v>1351</v>
      </c>
      <c r="N58" s="450">
        <v>60070651</v>
      </c>
      <c r="O58" s="725"/>
      <c r="P58" s="726" t="s">
        <v>1274</v>
      </c>
      <c r="Q58" s="56" t="s">
        <v>14</v>
      </c>
      <c r="R58" s="718" t="s">
        <v>1346</v>
      </c>
      <c r="S58" s="56"/>
      <c r="T58" s="727" t="s">
        <v>1333</v>
      </c>
      <c r="U58" s="728" t="s">
        <v>14</v>
      </c>
      <c r="V58" s="728" t="s">
        <v>1334</v>
      </c>
      <c r="W58" s="1722"/>
    </row>
    <row r="59" spans="3:23" ht="25.5">
      <c r="C59" s="612"/>
      <c r="D59" s="729">
        <v>79429519</v>
      </c>
      <c r="E59" s="743" t="s">
        <v>864</v>
      </c>
      <c r="F59" s="690" t="s">
        <v>14</v>
      </c>
      <c r="G59" s="744" t="s">
        <v>1359</v>
      </c>
      <c r="H59" s="450">
        <v>80066225.947999999</v>
      </c>
      <c r="I59" s="193" t="s">
        <v>845</v>
      </c>
      <c r="J59" s="193" t="s">
        <v>1191</v>
      </c>
      <c r="K59" s="193"/>
      <c r="L59" s="193">
        <v>0</v>
      </c>
      <c r="M59" s="193" t="s">
        <v>1351</v>
      </c>
      <c r="N59" s="450">
        <v>80066225.947999999</v>
      </c>
      <c r="O59" s="725"/>
      <c r="P59" s="726" t="s">
        <v>1263</v>
      </c>
      <c r="Q59" s="56" t="s">
        <v>37</v>
      </c>
      <c r="R59" s="718" t="s">
        <v>1336</v>
      </c>
      <c r="S59" s="56"/>
      <c r="T59" s="727" t="s">
        <v>1333</v>
      </c>
      <c r="U59" s="728" t="s">
        <v>14</v>
      </c>
      <c r="V59" s="728" t="s">
        <v>1334</v>
      </c>
      <c r="W59" s="1722"/>
    </row>
    <row r="60" spans="3:23" ht="51">
      <c r="C60" s="612"/>
      <c r="D60" s="450">
        <v>94104934</v>
      </c>
      <c r="E60" s="614" t="s">
        <v>1360</v>
      </c>
      <c r="F60" s="690" t="s">
        <v>14</v>
      </c>
      <c r="G60" s="744" t="s">
        <v>1361</v>
      </c>
      <c r="H60" s="450">
        <v>94104934</v>
      </c>
      <c r="I60" s="193" t="s">
        <v>861</v>
      </c>
      <c r="J60" s="193" t="s">
        <v>1190</v>
      </c>
      <c r="K60" s="193"/>
      <c r="L60" s="193">
        <v>0</v>
      </c>
      <c r="M60" s="193" t="s">
        <v>1351</v>
      </c>
      <c r="N60" s="450">
        <v>94104934</v>
      </c>
      <c r="O60" s="725"/>
      <c r="P60" s="726" t="s">
        <v>1274</v>
      </c>
      <c r="Q60" s="56" t="s">
        <v>14</v>
      </c>
      <c r="R60" s="718" t="s">
        <v>1346</v>
      </c>
      <c r="S60" s="56"/>
      <c r="T60" s="727" t="s">
        <v>1362</v>
      </c>
      <c r="U60" s="728" t="s">
        <v>1363</v>
      </c>
      <c r="V60" s="745" t="s">
        <v>1364</v>
      </c>
      <c r="W60" s="1722"/>
    </row>
    <row r="61" spans="3:23" ht="45">
      <c r="C61" s="612">
        <v>113608003000018</v>
      </c>
      <c r="D61" s="59" t="s">
        <v>176</v>
      </c>
      <c r="E61" s="617"/>
      <c r="F61" s="690"/>
      <c r="G61" s="616"/>
      <c r="H61" s="450"/>
      <c r="I61" s="193"/>
      <c r="J61" s="193"/>
      <c r="K61" s="193"/>
      <c r="L61" s="193"/>
      <c r="M61" s="193"/>
      <c r="N61" s="615"/>
      <c r="O61" s="730"/>
      <c r="P61" s="730"/>
      <c r="Q61" s="222"/>
      <c r="R61" s="222"/>
      <c r="S61" s="222"/>
      <c r="T61" s="222"/>
      <c r="U61" s="713"/>
      <c r="V61" s="713"/>
      <c r="W61" s="1722"/>
    </row>
    <row r="62" spans="3:23" ht="15">
      <c r="C62" s="612"/>
      <c r="D62" s="451">
        <f>SUM(D63:D64)</f>
        <v>73868498</v>
      </c>
      <c r="E62" s="732"/>
      <c r="F62" s="605"/>
      <c r="G62" s="741"/>
      <c r="H62" s="450"/>
      <c r="I62" s="193"/>
      <c r="J62" s="193"/>
      <c r="K62" s="193"/>
      <c r="L62" s="193"/>
      <c r="M62" s="193"/>
      <c r="N62" s="615"/>
      <c r="O62" s="730"/>
      <c r="P62" s="730"/>
      <c r="Q62" s="222"/>
      <c r="R62" s="222"/>
      <c r="S62" s="222"/>
      <c r="T62" s="746"/>
      <c r="U62" s="713"/>
      <c r="V62" s="735"/>
      <c r="W62" s="1722"/>
    </row>
    <row r="63" spans="3:23" ht="45">
      <c r="C63" s="612"/>
      <c r="D63" s="729">
        <v>73862345</v>
      </c>
      <c r="E63" s="614" t="s">
        <v>886</v>
      </c>
      <c r="F63" s="193" t="s">
        <v>14</v>
      </c>
      <c r="G63" s="616" t="s">
        <v>891</v>
      </c>
      <c r="H63" s="450">
        <v>75835038</v>
      </c>
      <c r="I63" s="193" t="s">
        <v>68</v>
      </c>
      <c r="J63" s="193" t="s">
        <v>145</v>
      </c>
      <c r="K63" s="193"/>
      <c r="L63" s="193">
        <v>0</v>
      </c>
      <c r="M63" s="193" t="s">
        <v>875</v>
      </c>
      <c r="N63" s="450">
        <v>75835038</v>
      </c>
      <c r="O63" s="725"/>
      <c r="P63" s="726" t="s">
        <v>1275</v>
      </c>
      <c r="Q63" s="56" t="s">
        <v>14</v>
      </c>
      <c r="R63" s="718" t="s">
        <v>1336</v>
      </c>
      <c r="S63" s="56"/>
      <c r="T63" s="718" t="s">
        <v>1333</v>
      </c>
      <c r="U63" s="728" t="s">
        <v>14</v>
      </c>
      <c r="V63" s="728" t="s">
        <v>1334</v>
      </c>
      <c r="W63" s="1722"/>
    </row>
    <row r="64" spans="3:23" ht="15">
      <c r="C64" s="612"/>
      <c r="D64" s="617">
        <v>6153</v>
      </c>
      <c r="E64" s="610" t="s">
        <v>1365</v>
      </c>
      <c r="F64" s="193"/>
      <c r="G64" s="616"/>
      <c r="H64" s="450"/>
      <c r="I64" s="193"/>
      <c r="J64" s="193"/>
      <c r="K64" s="193"/>
      <c r="L64" s="193"/>
      <c r="M64" s="193"/>
      <c r="N64" s="615"/>
      <c r="O64" s="730"/>
      <c r="P64" s="730"/>
      <c r="Q64" s="222"/>
      <c r="R64" s="222"/>
      <c r="S64" s="222"/>
      <c r="T64" s="718" t="s">
        <v>1339</v>
      </c>
      <c r="U64" s="713"/>
      <c r="V64" s="723"/>
      <c r="W64" s="1722"/>
    </row>
    <row r="65" spans="3:23" ht="75">
      <c r="C65" s="747">
        <v>123608001</v>
      </c>
      <c r="D65" s="618" t="s">
        <v>76</v>
      </c>
      <c r="E65" s="613"/>
      <c r="F65" s="193"/>
      <c r="G65" s="616"/>
      <c r="H65" s="450"/>
      <c r="I65" s="193"/>
      <c r="J65" s="193"/>
      <c r="K65" s="193"/>
      <c r="L65" s="193"/>
      <c r="M65" s="193"/>
      <c r="N65" s="615"/>
      <c r="O65" s="730"/>
      <c r="P65" s="730"/>
      <c r="Q65" s="222"/>
      <c r="R65" s="222"/>
      <c r="S65" s="222"/>
      <c r="T65" s="222"/>
      <c r="U65" s="713"/>
      <c r="V65" s="713"/>
      <c r="W65" s="1722"/>
    </row>
    <row r="66" spans="3:23" ht="45">
      <c r="C66" s="619">
        <v>123608001000001</v>
      </c>
      <c r="D66" s="620" t="s">
        <v>77</v>
      </c>
      <c r="E66" s="613"/>
      <c r="F66" s="193"/>
      <c r="G66" s="616"/>
      <c r="H66" s="450"/>
      <c r="I66" s="193"/>
      <c r="J66" s="193"/>
      <c r="K66" s="193"/>
      <c r="L66" s="193"/>
      <c r="M66" s="193"/>
      <c r="N66" s="615"/>
      <c r="O66" s="730"/>
      <c r="P66" s="730"/>
      <c r="Q66" s="222"/>
      <c r="R66" s="222"/>
      <c r="S66" s="222"/>
      <c r="T66" s="222"/>
      <c r="U66" s="713"/>
      <c r="V66" s="713"/>
      <c r="W66" s="1722"/>
    </row>
    <row r="67" spans="3:23" ht="15">
      <c r="C67" s="612"/>
      <c r="D67" s="451">
        <f>SUM(D68:D70)</f>
        <v>261543065</v>
      </c>
      <c r="E67" s="732"/>
      <c r="F67" s="605"/>
      <c r="G67" s="741"/>
      <c r="H67" s="450"/>
      <c r="I67" s="193"/>
      <c r="J67" s="193"/>
      <c r="K67" s="193"/>
      <c r="L67" s="193"/>
      <c r="M67" s="193"/>
      <c r="N67" s="615"/>
      <c r="O67" s="730"/>
      <c r="P67" s="730"/>
      <c r="Q67" s="222"/>
      <c r="R67" s="222"/>
      <c r="S67" s="222"/>
      <c r="T67" s="718"/>
      <c r="U67" s="713"/>
      <c r="V67" s="723"/>
      <c r="W67" s="1722"/>
    </row>
    <row r="68" spans="3:23" ht="55.5" customHeight="1">
      <c r="C68" s="612"/>
      <c r="D68" s="748">
        <v>128385434</v>
      </c>
      <c r="E68" s="617" t="s">
        <v>887</v>
      </c>
      <c r="F68" s="193" t="s">
        <v>14</v>
      </c>
      <c r="G68" s="749" t="s">
        <v>1366</v>
      </c>
      <c r="H68" s="617">
        <v>122424542.18000001</v>
      </c>
      <c r="I68" s="193" t="s">
        <v>68</v>
      </c>
      <c r="J68" s="193" t="s">
        <v>145</v>
      </c>
      <c r="K68" s="193"/>
      <c r="L68" s="193">
        <v>0</v>
      </c>
      <c r="M68" s="193" t="s">
        <v>875</v>
      </c>
      <c r="N68" s="617">
        <v>122424542.18000001</v>
      </c>
      <c r="O68" s="725"/>
      <c r="P68" s="726" t="s">
        <v>1275</v>
      </c>
      <c r="Q68" s="56"/>
      <c r="R68" s="718" t="s">
        <v>1367</v>
      </c>
      <c r="S68" s="56"/>
      <c r="T68" s="718" t="s">
        <v>1333</v>
      </c>
      <c r="U68" s="728" t="s">
        <v>14</v>
      </c>
      <c r="V68" s="728" t="s">
        <v>1334</v>
      </c>
      <c r="W68" s="1722"/>
    </row>
    <row r="69" spans="3:23" ht="45">
      <c r="C69" s="612"/>
      <c r="D69" s="748">
        <v>99040443</v>
      </c>
      <c r="E69" s="617" t="s">
        <v>864</v>
      </c>
      <c r="F69" s="193" t="s">
        <v>14</v>
      </c>
      <c r="G69" s="616" t="s">
        <v>1368</v>
      </c>
      <c r="H69" s="617">
        <v>99834351.420000002</v>
      </c>
      <c r="I69" s="193" t="s">
        <v>68</v>
      </c>
      <c r="J69" s="193" t="s">
        <v>145</v>
      </c>
      <c r="K69" s="193"/>
      <c r="L69" s="193">
        <v>0</v>
      </c>
      <c r="M69" s="193" t="s">
        <v>875</v>
      </c>
      <c r="N69" s="617">
        <v>99834351.420000002</v>
      </c>
      <c r="O69" s="725"/>
      <c r="P69" s="726" t="s">
        <v>1275</v>
      </c>
      <c r="Q69" s="56"/>
      <c r="R69" s="718" t="s">
        <v>1367</v>
      </c>
      <c r="S69" s="56"/>
      <c r="T69" s="718" t="s">
        <v>1333</v>
      </c>
      <c r="U69" s="728" t="s">
        <v>14</v>
      </c>
      <c r="V69" s="728" t="s">
        <v>1334</v>
      </c>
      <c r="W69" s="1722"/>
    </row>
    <row r="70" spans="3:23" ht="68.25" customHeight="1">
      <c r="C70" s="612"/>
      <c r="D70" s="748">
        <v>34117188</v>
      </c>
      <c r="E70" s="614" t="s">
        <v>892</v>
      </c>
      <c r="F70" s="193" t="s">
        <v>14</v>
      </c>
      <c r="G70" s="616" t="s">
        <v>1369</v>
      </c>
      <c r="H70" s="617">
        <v>43388182</v>
      </c>
      <c r="I70" s="193" t="s">
        <v>1191</v>
      </c>
      <c r="J70" s="193" t="s">
        <v>1191</v>
      </c>
      <c r="K70" s="193"/>
      <c r="L70" s="193">
        <v>0</v>
      </c>
      <c r="M70" s="193" t="s">
        <v>875</v>
      </c>
      <c r="N70" s="617">
        <v>43388182</v>
      </c>
      <c r="O70" s="725"/>
      <c r="P70" s="726" t="s">
        <v>1275</v>
      </c>
      <c r="Q70" s="56"/>
      <c r="R70" s="718" t="s">
        <v>1367</v>
      </c>
      <c r="S70" s="56"/>
      <c r="T70" s="718" t="s">
        <v>1370</v>
      </c>
      <c r="U70" s="728" t="s">
        <v>14</v>
      </c>
      <c r="V70" s="728" t="s">
        <v>1334</v>
      </c>
      <c r="W70" s="1722"/>
    </row>
    <row r="71" spans="3:23" ht="15">
      <c r="C71" s="446"/>
      <c r="D71" s="750"/>
      <c r="E71" s="721"/>
      <c r="F71" s="109"/>
      <c r="G71" s="751"/>
      <c r="H71" s="714"/>
      <c r="I71" s="109"/>
      <c r="J71" s="109"/>
      <c r="K71" s="109"/>
      <c r="L71" s="109"/>
      <c r="M71" s="109"/>
      <c r="N71" s="715"/>
      <c r="O71" s="752"/>
      <c r="P71" s="752"/>
      <c r="Q71" s="222"/>
      <c r="R71" s="222"/>
      <c r="S71" s="222"/>
      <c r="T71" s="222"/>
      <c r="U71" s="713"/>
      <c r="V71" s="713"/>
    </row>
    <row r="72" spans="3:23" ht="27.75">
      <c r="C72" s="1728" t="s">
        <v>307</v>
      </c>
      <c r="D72" s="1728"/>
      <c r="E72" s="1728"/>
      <c r="F72" s="1728"/>
      <c r="G72" s="1728"/>
      <c r="H72" s="1728"/>
      <c r="I72" s="1728"/>
      <c r="J72" s="1728"/>
      <c r="K72" s="1728"/>
      <c r="L72" s="1728"/>
      <c r="M72" s="1728"/>
      <c r="N72" s="1728"/>
      <c r="O72" s="621"/>
      <c r="P72" s="621"/>
      <c r="Q72" s="753"/>
      <c r="R72" s="753"/>
      <c r="S72" s="753"/>
      <c r="T72" s="753"/>
      <c r="U72" s="754"/>
      <c r="V72" s="755"/>
    </row>
    <row r="73" spans="3:23" ht="23.25">
      <c r="C73" s="1609" t="s">
        <v>308</v>
      </c>
      <c r="D73" s="1609"/>
      <c r="E73" s="1609"/>
      <c r="F73" s="1609"/>
      <c r="G73" s="1609"/>
      <c r="H73" s="1609"/>
      <c r="I73" s="1609"/>
      <c r="J73" s="1609"/>
      <c r="K73" s="1609"/>
      <c r="L73" s="1609"/>
      <c r="M73" s="1609"/>
      <c r="N73" s="1609"/>
      <c r="O73" s="621"/>
      <c r="P73" s="621"/>
      <c r="Q73" s="753"/>
      <c r="R73" s="753"/>
      <c r="S73" s="753"/>
      <c r="T73" s="753"/>
      <c r="U73" s="754"/>
      <c r="V73" s="756"/>
    </row>
    <row r="74" spans="3:23" ht="23.25">
      <c r="C74" s="1609" t="s">
        <v>893</v>
      </c>
      <c r="D74" s="1609"/>
      <c r="E74" s="1609"/>
      <c r="F74" s="1609"/>
      <c r="G74" s="1609"/>
      <c r="H74" s="1609"/>
      <c r="I74" s="1609"/>
      <c r="J74" s="1609"/>
      <c r="K74" s="1609"/>
      <c r="L74" s="1609"/>
      <c r="M74" s="1609"/>
      <c r="N74" s="1609"/>
      <c r="O74" s="621"/>
      <c r="P74" s="621"/>
      <c r="Q74" s="753"/>
      <c r="R74" s="753"/>
      <c r="S74" s="753"/>
      <c r="T74" s="753"/>
      <c r="U74" s="754"/>
      <c r="V74" s="757"/>
    </row>
    <row r="75" spans="3:23" ht="23.25">
      <c r="C75" s="102"/>
      <c r="D75" s="102"/>
      <c r="E75" s="102"/>
      <c r="F75" s="102"/>
      <c r="G75" s="102"/>
      <c r="H75" s="102"/>
      <c r="I75" s="102"/>
      <c r="L75" s="1610" t="s">
        <v>228</v>
      </c>
      <c r="M75" s="1610"/>
      <c r="N75" s="1610"/>
      <c r="O75" s="1729" t="s">
        <v>1276</v>
      </c>
      <c r="P75" s="1729"/>
      <c r="Q75" s="1727" t="s">
        <v>1322</v>
      </c>
      <c r="R75" s="1727"/>
      <c r="S75" s="1727" t="s">
        <v>1323</v>
      </c>
      <c r="T75" s="1727"/>
      <c r="U75" s="1727" t="s">
        <v>1371</v>
      </c>
      <c r="V75" s="1727"/>
    </row>
    <row r="76" spans="3:23" ht="12.75" customHeight="1">
      <c r="C76" s="1553" t="s">
        <v>48</v>
      </c>
      <c r="D76" s="1553" t="s">
        <v>49</v>
      </c>
      <c r="E76" s="1553" t="s">
        <v>229</v>
      </c>
      <c r="F76" s="1536" t="s">
        <v>230</v>
      </c>
      <c r="G76" s="1553" t="s">
        <v>131</v>
      </c>
      <c r="H76" s="1553" t="s">
        <v>231</v>
      </c>
      <c r="I76" s="1553" t="s">
        <v>232</v>
      </c>
      <c r="J76" s="1553" t="s">
        <v>233</v>
      </c>
      <c r="K76" s="1604" t="s">
        <v>234</v>
      </c>
      <c r="L76" s="1605"/>
      <c r="M76" s="1605"/>
      <c r="N76" s="1605"/>
      <c r="O76" s="1731" t="s">
        <v>18</v>
      </c>
      <c r="P76" s="1731" t="s">
        <v>71</v>
      </c>
      <c r="Q76" s="1733" t="s">
        <v>18</v>
      </c>
      <c r="R76" s="1733" t="s">
        <v>71</v>
      </c>
      <c r="S76" s="1733" t="s">
        <v>1372</v>
      </c>
      <c r="T76" s="1733" t="s">
        <v>71</v>
      </c>
      <c r="U76" s="1733" t="s">
        <v>1372</v>
      </c>
      <c r="V76" s="1733" t="s">
        <v>71</v>
      </c>
    </row>
    <row r="77" spans="3:23" ht="12.75" customHeight="1">
      <c r="C77" s="1553"/>
      <c r="D77" s="1553"/>
      <c r="E77" s="1553"/>
      <c r="F77" s="1556"/>
      <c r="G77" s="1553"/>
      <c r="H77" s="1553"/>
      <c r="I77" s="1553"/>
      <c r="J77" s="1553"/>
      <c r="K77" s="1557" t="s">
        <v>236</v>
      </c>
      <c r="L77" s="1558"/>
      <c r="M77" s="1574" t="s">
        <v>237</v>
      </c>
      <c r="N77" s="1721"/>
      <c r="O77" s="1732"/>
      <c r="P77" s="1732"/>
      <c r="Q77" s="1734"/>
      <c r="R77" s="1734"/>
      <c r="S77" s="1734"/>
      <c r="T77" s="1734"/>
      <c r="U77" s="1734"/>
      <c r="V77" s="1734"/>
    </row>
    <row r="78" spans="3:23" ht="12.75">
      <c r="C78" s="1553"/>
      <c r="D78" s="1553"/>
      <c r="E78" s="1553"/>
      <c r="F78" s="693" t="s">
        <v>238</v>
      </c>
      <c r="G78" s="1553"/>
      <c r="H78" s="1553"/>
      <c r="I78" s="1553"/>
      <c r="J78" s="1553"/>
      <c r="K78" s="104" t="s">
        <v>239</v>
      </c>
      <c r="L78" s="104" t="s">
        <v>240</v>
      </c>
      <c r="M78" s="104" t="s">
        <v>239</v>
      </c>
      <c r="N78" s="538" t="s">
        <v>240</v>
      </c>
      <c r="O78" s="1729"/>
      <c r="P78" s="1729"/>
      <c r="Q78" s="1735"/>
      <c r="R78" s="1735"/>
      <c r="S78" s="1735"/>
      <c r="T78" s="1735"/>
      <c r="U78" s="1735"/>
      <c r="V78" s="1735"/>
    </row>
    <row r="79" spans="3:23" ht="25.5">
      <c r="C79" s="452" t="s">
        <v>894</v>
      </c>
      <c r="D79" s="453">
        <v>40000000</v>
      </c>
      <c r="E79" s="106"/>
      <c r="F79" s="106"/>
      <c r="G79" s="452"/>
      <c r="H79" s="453"/>
      <c r="I79" s="454"/>
      <c r="J79" s="455"/>
      <c r="K79" s="106"/>
      <c r="L79" s="106"/>
      <c r="M79" s="106"/>
      <c r="N79" s="127"/>
      <c r="O79" s="712"/>
      <c r="P79" s="712"/>
      <c r="Q79" s="222"/>
      <c r="R79" s="222"/>
      <c r="S79" s="222"/>
      <c r="T79" s="222"/>
      <c r="U79" s="758"/>
      <c r="V79" s="713"/>
    </row>
    <row r="80" spans="3:23" ht="50.25" customHeight="1">
      <c r="C80" s="456" t="s">
        <v>895</v>
      </c>
      <c r="D80" s="457">
        <v>34000000</v>
      </c>
      <c r="E80" s="458" t="s">
        <v>896</v>
      </c>
      <c r="F80" s="459"/>
      <c r="G80" s="456" t="s">
        <v>897</v>
      </c>
      <c r="H80" s="457">
        <v>34000000</v>
      </c>
      <c r="I80" s="460" t="s">
        <v>898</v>
      </c>
      <c r="J80" s="461">
        <v>42093</v>
      </c>
      <c r="K80" s="106"/>
      <c r="L80" s="106"/>
      <c r="M80" s="106"/>
      <c r="N80" s="127"/>
      <c r="O80" s="716" t="s">
        <v>14</v>
      </c>
      <c r="P80" s="712" t="s">
        <v>1277</v>
      </c>
      <c r="Q80" s="56" t="s">
        <v>14</v>
      </c>
      <c r="R80" s="222" t="s">
        <v>1277</v>
      </c>
      <c r="S80" s="719" t="s">
        <v>14</v>
      </c>
      <c r="T80" s="720" t="s">
        <v>1373</v>
      </c>
      <c r="U80" s="758" t="s">
        <v>132</v>
      </c>
      <c r="V80" s="745" t="s">
        <v>1374</v>
      </c>
      <c r="W80" s="1722">
        <v>1</v>
      </c>
    </row>
    <row r="81" spans="3:23" ht="44.25" customHeight="1">
      <c r="C81" s="456" t="s">
        <v>899</v>
      </c>
      <c r="D81" s="457">
        <v>6000000</v>
      </c>
      <c r="E81" s="462" t="s">
        <v>900</v>
      </c>
      <c r="F81" s="462"/>
      <c r="G81" s="456" t="s">
        <v>899</v>
      </c>
      <c r="H81" s="457">
        <v>6000000</v>
      </c>
      <c r="I81" s="460" t="s">
        <v>885</v>
      </c>
      <c r="J81" s="463">
        <v>42154</v>
      </c>
      <c r="K81" s="106"/>
      <c r="L81" s="106"/>
      <c r="M81" s="106"/>
      <c r="N81" s="127"/>
      <c r="O81" s="725"/>
      <c r="P81" s="726" t="s">
        <v>1278</v>
      </c>
      <c r="Q81" s="56" t="s">
        <v>37</v>
      </c>
      <c r="R81" s="718" t="s">
        <v>1375</v>
      </c>
      <c r="S81" s="56" t="s">
        <v>132</v>
      </c>
      <c r="T81" s="720" t="s">
        <v>1376</v>
      </c>
      <c r="U81" s="758" t="s">
        <v>132</v>
      </c>
      <c r="V81" s="745" t="s">
        <v>1374</v>
      </c>
      <c r="W81" s="1722"/>
    </row>
    <row r="82" spans="3:23" ht="25.5">
      <c r="C82" s="452" t="s">
        <v>901</v>
      </c>
      <c r="D82" s="453">
        <v>10000000</v>
      </c>
      <c r="E82" s="106"/>
      <c r="F82" s="106"/>
      <c r="G82" s="452"/>
      <c r="H82" s="453"/>
      <c r="I82" s="454"/>
      <c r="J82" s="464"/>
      <c r="K82" s="106"/>
      <c r="L82" s="106"/>
      <c r="M82" s="106"/>
      <c r="N82" s="127"/>
      <c r="O82" s="712"/>
      <c r="P82" s="712"/>
      <c r="Q82" s="222"/>
      <c r="R82" s="222"/>
      <c r="S82" s="222"/>
      <c r="T82" s="222"/>
      <c r="U82" s="758"/>
      <c r="V82" s="745"/>
      <c r="W82" s="1722"/>
    </row>
    <row r="83" spans="3:23" ht="45">
      <c r="C83" s="465" t="s">
        <v>902</v>
      </c>
      <c r="D83" s="453">
        <v>10000000</v>
      </c>
      <c r="E83" s="106" t="s">
        <v>903</v>
      </c>
      <c r="F83" s="106"/>
      <c r="G83" s="465" t="s">
        <v>902</v>
      </c>
      <c r="H83" s="453">
        <v>10000000</v>
      </c>
      <c r="I83" s="454" t="s">
        <v>885</v>
      </c>
      <c r="J83" s="466">
        <v>42154</v>
      </c>
      <c r="K83" s="106"/>
      <c r="L83" s="106"/>
      <c r="M83" s="106"/>
      <c r="N83" s="127"/>
      <c r="O83" s="725"/>
      <c r="P83" s="726" t="s">
        <v>1278</v>
      </c>
      <c r="Q83" s="56" t="s">
        <v>37</v>
      </c>
      <c r="R83" s="718" t="s">
        <v>1377</v>
      </c>
      <c r="S83" s="56" t="s">
        <v>132</v>
      </c>
      <c r="T83" s="718" t="s">
        <v>1378</v>
      </c>
      <c r="U83" s="758" t="s">
        <v>132</v>
      </c>
      <c r="V83" s="745" t="s">
        <v>1374</v>
      </c>
      <c r="W83" s="1722"/>
    </row>
    <row r="84" spans="3:23" ht="25.5">
      <c r="C84" s="452" t="s">
        <v>904</v>
      </c>
      <c r="D84" s="453">
        <v>40000000</v>
      </c>
      <c r="E84" s="106"/>
      <c r="F84" s="106"/>
      <c r="G84" s="452"/>
      <c r="H84" s="453"/>
      <c r="I84" s="454"/>
      <c r="J84" s="464"/>
      <c r="K84" s="106"/>
      <c r="L84" s="106"/>
      <c r="M84" s="106"/>
      <c r="N84" s="127"/>
      <c r="O84" s="712"/>
      <c r="P84" s="712"/>
      <c r="Q84" s="222"/>
      <c r="R84" s="222"/>
      <c r="S84" s="222"/>
      <c r="T84" s="222"/>
      <c r="U84" s="758"/>
      <c r="V84" s="745"/>
      <c r="W84" s="1722"/>
    </row>
    <row r="85" spans="3:23" ht="56.25">
      <c r="C85" s="465" t="s">
        <v>905</v>
      </c>
      <c r="D85" s="453">
        <v>40000000</v>
      </c>
      <c r="E85" s="106" t="s">
        <v>906</v>
      </c>
      <c r="F85" s="106"/>
      <c r="G85" s="465" t="s">
        <v>905</v>
      </c>
      <c r="H85" s="453">
        <v>40000000</v>
      </c>
      <c r="I85" s="454" t="s">
        <v>885</v>
      </c>
      <c r="J85" s="466">
        <v>42154</v>
      </c>
      <c r="K85" s="106"/>
      <c r="L85" s="106"/>
      <c r="M85" s="106"/>
      <c r="N85" s="127"/>
      <c r="O85" s="725"/>
      <c r="P85" s="726" t="s">
        <v>1278</v>
      </c>
      <c r="Q85" s="56" t="s">
        <v>14</v>
      </c>
      <c r="R85" s="718" t="s">
        <v>1379</v>
      </c>
      <c r="S85" s="56" t="s">
        <v>132</v>
      </c>
      <c r="T85" s="720" t="s">
        <v>1380</v>
      </c>
      <c r="U85" s="758" t="s">
        <v>132</v>
      </c>
      <c r="V85" s="745" t="s">
        <v>1374</v>
      </c>
      <c r="W85" s="1722"/>
    </row>
    <row r="86" spans="3:23" ht="25.5">
      <c r="C86" s="452" t="s">
        <v>907</v>
      </c>
      <c r="D86" s="453">
        <f>+D87</f>
        <v>20000000</v>
      </c>
      <c r="E86" s="106"/>
      <c r="F86" s="106"/>
      <c r="G86" s="452"/>
      <c r="H86" s="453"/>
      <c r="I86" s="454"/>
      <c r="J86" s="464"/>
      <c r="K86" s="106"/>
      <c r="L86" s="106"/>
      <c r="M86" s="106"/>
      <c r="N86" s="127"/>
      <c r="O86" s="712"/>
      <c r="P86" s="712"/>
      <c r="Q86" s="222"/>
      <c r="R86" s="222"/>
      <c r="S86" s="222"/>
      <c r="T86" s="222"/>
      <c r="U86" s="758"/>
      <c r="V86" s="745"/>
      <c r="W86" s="1722"/>
    </row>
    <row r="87" spans="3:23" ht="33.75">
      <c r="C87" s="465" t="s">
        <v>908</v>
      </c>
      <c r="D87" s="453">
        <v>20000000</v>
      </c>
      <c r="E87" s="106" t="s">
        <v>900</v>
      </c>
      <c r="F87" s="106"/>
      <c r="G87" s="465" t="s">
        <v>908</v>
      </c>
      <c r="H87" s="453">
        <v>20000000</v>
      </c>
      <c r="I87" s="454" t="s">
        <v>853</v>
      </c>
      <c r="J87" s="466">
        <v>42114</v>
      </c>
      <c r="K87" s="106"/>
      <c r="L87" s="106"/>
      <c r="M87" s="106"/>
      <c r="N87" s="127"/>
      <c r="O87" s="725"/>
      <c r="P87" s="726" t="s">
        <v>1279</v>
      </c>
      <c r="Q87" s="56" t="s">
        <v>14</v>
      </c>
      <c r="R87" s="718" t="s">
        <v>1379</v>
      </c>
      <c r="S87" s="56" t="s">
        <v>132</v>
      </c>
      <c r="T87" s="720" t="s">
        <v>1381</v>
      </c>
      <c r="U87" s="758" t="s">
        <v>132</v>
      </c>
      <c r="V87" s="745" t="s">
        <v>1374</v>
      </c>
      <c r="W87" s="1722"/>
    </row>
    <row r="88" spans="3:23" ht="38.25">
      <c r="C88" s="452" t="s">
        <v>86</v>
      </c>
      <c r="D88" s="467">
        <f>+D89</f>
        <v>5000000</v>
      </c>
      <c r="E88" s="106"/>
      <c r="F88" s="106"/>
      <c r="G88" s="452"/>
      <c r="H88" s="467"/>
      <c r="I88" s="454"/>
      <c r="J88" s="464"/>
      <c r="K88" s="106"/>
      <c r="L88" s="106"/>
      <c r="M88" s="106"/>
      <c r="N88" s="127"/>
      <c r="O88" s="712"/>
      <c r="P88" s="712"/>
      <c r="Q88" s="222"/>
      <c r="R88" s="222"/>
      <c r="S88" s="222"/>
      <c r="T88" s="222"/>
      <c r="U88" s="758"/>
      <c r="V88" s="745"/>
      <c r="W88" s="1722"/>
    </row>
    <row r="89" spans="3:23" ht="33.75">
      <c r="C89" s="465" t="s">
        <v>909</v>
      </c>
      <c r="D89" s="467">
        <v>5000000</v>
      </c>
      <c r="E89" s="106" t="s">
        <v>900</v>
      </c>
      <c r="F89" s="106"/>
      <c r="G89" s="465" t="s">
        <v>909</v>
      </c>
      <c r="H89" s="467">
        <v>5000000</v>
      </c>
      <c r="I89" s="454" t="s">
        <v>11</v>
      </c>
      <c r="J89" s="466">
        <v>42083</v>
      </c>
      <c r="K89" s="106"/>
      <c r="L89" s="106"/>
      <c r="M89" s="106"/>
      <c r="N89" s="127"/>
      <c r="O89" s="716" t="s">
        <v>14</v>
      </c>
      <c r="P89" s="712" t="s">
        <v>1277</v>
      </c>
      <c r="Q89" s="56" t="s">
        <v>14</v>
      </c>
      <c r="R89" s="222" t="s">
        <v>1330</v>
      </c>
      <c r="S89" s="56" t="s">
        <v>132</v>
      </c>
      <c r="T89" s="720" t="s">
        <v>1382</v>
      </c>
      <c r="U89" s="758" t="s">
        <v>132</v>
      </c>
      <c r="V89" s="745" t="s">
        <v>1374</v>
      </c>
      <c r="W89" s="1722"/>
    </row>
    <row r="90" spans="3:23" ht="25.5">
      <c r="C90" s="452" t="s">
        <v>910</v>
      </c>
      <c r="D90" s="467">
        <v>130000000</v>
      </c>
      <c r="E90" s="106"/>
      <c r="F90" s="106"/>
      <c r="G90" s="452"/>
      <c r="H90" s="467"/>
      <c r="I90" s="454"/>
      <c r="J90" s="464"/>
      <c r="K90" s="121"/>
      <c r="L90" s="121"/>
      <c r="M90" s="121"/>
      <c r="N90" s="525"/>
      <c r="O90" s="712"/>
      <c r="P90" s="712"/>
      <c r="Q90" s="222"/>
      <c r="R90" s="222"/>
      <c r="S90" s="222"/>
      <c r="T90" s="222"/>
      <c r="U90" s="758"/>
      <c r="V90" s="745"/>
      <c r="W90" s="1722"/>
    </row>
    <row r="91" spans="3:23" ht="56.25">
      <c r="C91" s="468" t="s">
        <v>911</v>
      </c>
      <c r="D91" s="469">
        <v>102000000</v>
      </c>
      <c r="E91" s="470" t="s">
        <v>912</v>
      </c>
      <c r="F91" s="470"/>
      <c r="G91" s="468" t="s">
        <v>911</v>
      </c>
      <c r="H91" s="469">
        <v>102000000</v>
      </c>
      <c r="I91" s="471" t="s">
        <v>898</v>
      </c>
      <c r="J91" s="472">
        <v>42119</v>
      </c>
      <c r="K91" s="121"/>
      <c r="L91" s="121"/>
      <c r="M91" s="121"/>
      <c r="N91" s="525"/>
      <c r="O91" s="716" t="s">
        <v>14</v>
      </c>
      <c r="P91" s="712" t="s">
        <v>1277</v>
      </c>
      <c r="Q91" s="56" t="s">
        <v>14</v>
      </c>
      <c r="R91" s="222" t="s">
        <v>1383</v>
      </c>
      <c r="S91" s="56" t="s">
        <v>132</v>
      </c>
      <c r="T91" s="720" t="s">
        <v>1384</v>
      </c>
      <c r="U91" s="758" t="s">
        <v>132</v>
      </c>
      <c r="V91" s="745" t="s">
        <v>1374</v>
      </c>
      <c r="W91" s="1722"/>
    </row>
    <row r="92" spans="3:23" ht="38.25">
      <c r="C92" s="468" t="s">
        <v>913</v>
      </c>
      <c r="D92" s="469">
        <v>20000000</v>
      </c>
      <c r="E92" s="470" t="s">
        <v>900</v>
      </c>
      <c r="F92" s="470"/>
      <c r="G92" s="468" t="s">
        <v>913</v>
      </c>
      <c r="H92" s="469">
        <v>20000000</v>
      </c>
      <c r="I92" s="471" t="s">
        <v>898</v>
      </c>
      <c r="J92" s="473">
        <v>42094</v>
      </c>
      <c r="K92" s="121"/>
      <c r="L92" s="121"/>
      <c r="M92" s="121"/>
      <c r="N92" s="525"/>
      <c r="O92" s="716" t="s">
        <v>14</v>
      </c>
      <c r="P92" s="712" t="s">
        <v>1277</v>
      </c>
      <c r="Q92" s="56" t="s">
        <v>14</v>
      </c>
      <c r="R92" s="222" t="s">
        <v>1385</v>
      </c>
      <c r="S92" s="56" t="s">
        <v>1386</v>
      </c>
      <c r="T92" s="720" t="s">
        <v>1387</v>
      </c>
      <c r="U92" s="758" t="s">
        <v>132</v>
      </c>
      <c r="V92" s="745" t="s">
        <v>1374</v>
      </c>
      <c r="W92" s="1722"/>
    </row>
    <row r="93" spans="3:23" ht="33.75">
      <c r="C93" s="468"/>
      <c r="D93" s="469"/>
      <c r="E93" s="470"/>
      <c r="F93" s="470"/>
      <c r="G93" s="468"/>
      <c r="H93" s="469"/>
      <c r="I93" s="471"/>
      <c r="J93" s="473"/>
      <c r="K93" s="121"/>
      <c r="L93" s="121"/>
      <c r="M93" s="121"/>
      <c r="N93" s="525"/>
      <c r="O93" s="716"/>
      <c r="P93" s="712"/>
      <c r="Q93" s="56"/>
      <c r="R93" s="222"/>
      <c r="S93" s="56"/>
      <c r="T93" s="718" t="s">
        <v>1388</v>
      </c>
      <c r="U93" s="758"/>
      <c r="V93" s="745"/>
      <c r="W93" s="1722"/>
    </row>
    <row r="94" spans="3:23" ht="51">
      <c r="C94" s="452" t="s">
        <v>914</v>
      </c>
      <c r="D94" s="453">
        <f>+D95</f>
        <v>10000000</v>
      </c>
      <c r="E94" s="106"/>
      <c r="F94" s="106"/>
      <c r="G94" s="452"/>
      <c r="H94" s="453">
        <f>+H95</f>
        <v>10000000</v>
      </c>
      <c r="I94" s="454"/>
      <c r="J94" s="464"/>
      <c r="K94" s="121"/>
      <c r="L94" s="121"/>
      <c r="M94" s="121"/>
      <c r="N94" s="525"/>
      <c r="O94" s="712"/>
      <c r="P94" s="712"/>
      <c r="Q94" s="222"/>
      <c r="R94" s="222"/>
      <c r="S94" s="222"/>
      <c r="T94" s="222"/>
      <c r="U94" s="758"/>
      <c r="V94" s="745"/>
      <c r="W94" s="1722"/>
    </row>
    <row r="95" spans="3:23" ht="51">
      <c r="C95" s="465" t="s">
        <v>915</v>
      </c>
      <c r="D95" s="453">
        <v>10000000</v>
      </c>
      <c r="E95" s="106" t="s">
        <v>916</v>
      </c>
      <c r="F95" s="106"/>
      <c r="G95" s="465" t="s">
        <v>915</v>
      </c>
      <c r="H95" s="453">
        <v>10000000</v>
      </c>
      <c r="I95" s="454" t="s">
        <v>11</v>
      </c>
      <c r="J95" s="466">
        <v>42055</v>
      </c>
      <c r="K95" s="121"/>
      <c r="L95" s="121"/>
      <c r="M95" s="121"/>
      <c r="N95" s="525"/>
      <c r="O95" s="716" t="s">
        <v>14</v>
      </c>
      <c r="P95" s="712" t="s">
        <v>1277</v>
      </c>
      <c r="Q95" s="56" t="s">
        <v>14</v>
      </c>
      <c r="R95" s="222" t="s">
        <v>1330</v>
      </c>
      <c r="S95" s="56" t="s">
        <v>132</v>
      </c>
      <c r="T95" s="720" t="s">
        <v>1389</v>
      </c>
      <c r="U95" s="758" t="s">
        <v>132</v>
      </c>
      <c r="V95" s="745" t="s">
        <v>1374</v>
      </c>
      <c r="W95" s="1722"/>
    </row>
    <row r="96" spans="3:23" ht="15">
      <c r="C96" s="64" t="s">
        <v>917</v>
      </c>
      <c r="D96" s="474">
        <f>D95+D92+D90+D88+D86+D84+D82+D79</f>
        <v>275000000</v>
      </c>
      <c r="J96" s="475"/>
      <c r="O96" s="712"/>
      <c r="P96" s="712"/>
      <c r="Q96" s="222"/>
      <c r="R96" s="222"/>
      <c r="S96" s="222"/>
      <c r="T96" s="222"/>
      <c r="U96" s="713"/>
      <c r="V96" s="713"/>
    </row>
    <row r="97" spans="3:23" ht="27.75">
      <c r="C97" s="1608" t="s">
        <v>307</v>
      </c>
      <c r="D97" s="1608"/>
      <c r="E97" s="1608"/>
      <c r="F97" s="1608"/>
      <c r="G97" s="1608"/>
      <c r="H97" s="1608"/>
      <c r="I97" s="1608"/>
      <c r="J97" s="1608"/>
      <c r="K97" s="1608"/>
      <c r="L97" s="1608"/>
      <c r="M97" s="1608"/>
      <c r="N97" s="1608"/>
      <c r="O97" s="759"/>
      <c r="P97" s="759"/>
      <c r="Q97" s="753"/>
      <c r="R97" s="753"/>
      <c r="S97" s="753"/>
      <c r="T97" s="753"/>
      <c r="U97" s="754"/>
      <c r="V97" s="755"/>
    </row>
    <row r="98" spans="3:23" ht="23.25">
      <c r="C98" s="1609" t="s">
        <v>308</v>
      </c>
      <c r="D98" s="1609"/>
      <c r="E98" s="1609"/>
      <c r="F98" s="1609"/>
      <c r="G98" s="1609"/>
      <c r="H98" s="1609"/>
      <c r="I98" s="1609"/>
      <c r="J98" s="1609"/>
      <c r="K98" s="1609"/>
      <c r="L98" s="1609"/>
      <c r="M98" s="1609"/>
      <c r="N98" s="1609"/>
      <c r="O98" s="759"/>
      <c r="P98" s="759"/>
      <c r="Q98" s="753"/>
      <c r="R98" s="753"/>
      <c r="S98" s="753"/>
      <c r="T98" s="753"/>
      <c r="U98" s="754"/>
      <c r="V98" s="757"/>
    </row>
    <row r="99" spans="3:23" ht="23.25">
      <c r="C99" s="1609" t="s">
        <v>918</v>
      </c>
      <c r="D99" s="1609"/>
      <c r="E99" s="1609"/>
      <c r="F99" s="1609"/>
      <c r="G99" s="1609"/>
      <c r="H99" s="1609"/>
      <c r="I99" s="1609"/>
      <c r="J99" s="1609"/>
      <c r="K99" s="1609"/>
      <c r="L99" s="1609"/>
      <c r="M99" s="1609"/>
      <c r="N99" s="1730"/>
      <c r="O99" s="1729" t="s">
        <v>1276</v>
      </c>
      <c r="P99" s="1729"/>
      <c r="Q99" s="1727" t="s">
        <v>1322</v>
      </c>
      <c r="R99" s="1727"/>
      <c r="S99" s="1727" t="s">
        <v>1323</v>
      </c>
      <c r="T99" s="1727"/>
      <c r="U99" s="1727" t="s">
        <v>1390</v>
      </c>
      <c r="V99" s="1727"/>
    </row>
    <row r="100" spans="3:23" ht="23.25">
      <c r="C100" s="102"/>
      <c r="D100" s="102"/>
      <c r="E100" s="102"/>
      <c r="F100" s="102"/>
      <c r="G100" s="102"/>
      <c r="H100" s="102"/>
      <c r="I100" s="102"/>
      <c r="L100" s="1610" t="s">
        <v>228</v>
      </c>
      <c r="M100" s="1610"/>
      <c r="N100" s="1610"/>
      <c r="O100" s="1731" t="s">
        <v>18</v>
      </c>
      <c r="P100" s="1731" t="s">
        <v>71</v>
      </c>
      <c r="Q100" s="1733" t="s">
        <v>18</v>
      </c>
      <c r="R100" s="1733" t="s">
        <v>71</v>
      </c>
      <c r="S100" s="1733" t="s">
        <v>1372</v>
      </c>
      <c r="T100" s="1733" t="s">
        <v>71</v>
      </c>
      <c r="U100" s="1733" t="s">
        <v>1372</v>
      </c>
      <c r="V100" s="1733" t="s">
        <v>71</v>
      </c>
    </row>
    <row r="101" spans="3:23" ht="12.75">
      <c r="C101" s="1553" t="s">
        <v>48</v>
      </c>
      <c r="D101" s="1553" t="s">
        <v>49</v>
      </c>
      <c r="E101" s="1553" t="s">
        <v>229</v>
      </c>
      <c r="F101" s="1536" t="s">
        <v>230</v>
      </c>
      <c r="G101" s="1553" t="s">
        <v>131</v>
      </c>
      <c r="H101" s="1553" t="s">
        <v>231</v>
      </c>
      <c r="I101" s="1553" t="s">
        <v>232</v>
      </c>
      <c r="J101" s="1553" t="s">
        <v>233</v>
      </c>
      <c r="K101" s="1604" t="s">
        <v>234</v>
      </c>
      <c r="L101" s="1605"/>
      <c r="M101" s="1605"/>
      <c r="N101" s="1605"/>
      <c r="O101" s="1732"/>
      <c r="P101" s="1732"/>
      <c r="Q101" s="1734"/>
      <c r="R101" s="1734"/>
      <c r="S101" s="1734"/>
      <c r="T101" s="1734"/>
      <c r="U101" s="1734"/>
      <c r="V101" s="1734"/>
    </row>
    <row r="102" spans="3:23" ht="12.75">
      <c r="C102" s="1553"/>
      <c r="D102" s="1553"/>
      <c r="E102" s="1553"/>
      <c r="F102" s="1556"/>
      <c r="G102" s="1553"/>
      <c r="H102" s="1553"/>
      <c r="I102" s="1553"/>
      <c r="J102" s="1553"/>
      <c r="K102" s="1557" t="s">
        <v>236</v>
      </c>
      <c r="L102" s="1558"/>
      <c r="M102" s="1574" t="s">
        <v>237</v>
      </c>
      <c r="N102" s="1721"/>
      <c r="O102" s="1729"/>
      <c r="P102" s="1729"/>
      <c r="Q102" s="1735"/>
      <c r="R102" s="1735"/>
      <c r="S102" s="1735"/>
      <c r="T102" s="1735"/>
      <c r="U102" s="1735"/>
      <c r="V102" s="1735"/>
    </row>
    <row r="103" spans="3:23" ht="12.75">
      <c r="C103" s="1553"/>
      <c r="D103" s="1553"/>
      <c r="E103" s="1553"/>
      <c r="F103" s="693" t="s">
        <v>238</v>
      </c>
      <c r="G103" s="1553"/>
      <c r="H103" s="1553"/>
      <c r="I103" s="1553"/>
      <c r="J103" s="1553"/>
      <c r="K103" s="104" t="s">
        <v>239</v>
      </c>
      <c r="L103" s="104" t="s">
        <v>240</v>
      </c>
      <c r="M103" s="104" t="s">
        <v>239</v>
      </c>
      <c r="N103" s="538" t="s">
        <v>240</v>
      </c>
      <c r="O103" s="712"/>
      <c r="P103" s="712"/>
      <c r="Q103" s="222"/>
      <c r="R103" s="222"/>
      <c r="S103" s="222"/>
      <c r="T103" s="222"/>
      <c r="U103" s="713"/>
      <c r="V103" s="713"/>
    </row>
    <row r="104" spans="3:23" ht="54.75" customHeight="1">
      <c r="C104" s="476" t="s">
        <v>919</v>
      </c>
      <c r="D104" s="760">
        <v>48417496</v>
      </c>
      <c r="E104" s="106" t="s">
        <v>490</v>
      </c>
      <c r="F104" s="106" t="s">
        <v>14</v>
      </c>
      <c r="G104" s="476" t="s">
        <v>920</v>
      </c>
      <c r="H104" s="106">
        <v>52000000</v>
      </c>
      <c r="I104" s="106" t="s">
        <v>669</v>
      </c>
      <c r="J104" s="106" t="s">
        <v>668</v>
      </c>
      <c r="K104" s="106" t="s">
        <v>37</v>
      </c>
      <c r="L104" s="106" t="s">
        <v>258</v>
      </c>
      <c r="M104" s="106" t="s">
        <v>921</v>
      </c>
      <c r="N104" s="127" t="s">
        <v>922</v>
      </c>
      <c r="O104" s="716" t="s">
        <v>14</v>
      </c>
      <c r="P104" s="712" t="s">
        <v>1277</v>
      </c>
      <c r="Q104" s="56" t="s">
        <v>14</v>
      </c>
      <c r="R104" s="222" t="s">
        <v>1277</v>
      </c>
      <c r="S104" s="56" t="s">
        <v>14</v>
      </c>
      <c r="T104" s="720" t="s">
        <v>217</v>
      </c>
      <c r="U104" s="728" t="s">
        <v>14</v>
      </c>
      <c r="V104" s="745" t="s">
        <v>1334</v>
      </c>
      <c r="W104" s="1222">
        <v>1</v>
      </c>
    </row>
    <row r="105" spans="3:23" ht="27.75">
      <c r="C105" s="1728" t="s">
        <v>307</v>
      </c>
      <c r="D105" s="1728"/>
      <c r="E105" s="1728"/>
      <c r="F105" s="1728"/>
      <c r="G105" s="1728"/>
      <c r="H105" s="1728"/>
      <c r="I105" s="1728"/>
      <c r="J105" s="1728"/>
      <c r="K105" s="1728"/>
      <c r="L105" s="1728"/>
      <c r="M105" s="1728"/>
      <c r="N105" s="1728"/>
      <c r="O105" s="759"/>
      <c r="P105" s="759"/>
      <c r="Q105" s="753"/>
      <c r="R105" s="753"/>
      <c r="S105" s="753"/>
      <c r="T105" s="753"/>
      <c r="U105" s="754"/>
      <c r="V105" s="755"/>
    </row>
    <row r="106" spans="3:23" ht="23.25">
      <c r="C106" s="1609" t="s">
        <v>308</v>
      </c>
      <c r="D106" s="1609"/>
      <c r="E106" s="1609"/>
      <c r="F106" s="1609"/>
      <c r="G106" s="1609"/>
      <c r="H106" s="1609"/>
      <c r="I106" s="1609"/>
      <c r="J106" s="1609"/>
      <c r="K106" s="1609"/>
      <c r="L106" s="1609"/>
      <c r="M106" s="1609"/>
      <c r="N106" s="1609"/>
      <c r="O106" s="759"/>
      <c r="P106" s="759"/>
      <c r="Q106" s="753"/>
      <c r="R106" s="753"/>
      <c r="S106" s="753"/>
      <c r="T106" s="753"/>
      <c r="U106" s="754"/>
      <c r="V106" s="757"/>
    </row>
    <row r="107" spans="3:23" ht="23.25">
      <c r="C107" s="1609" t="s">
        <v>923</v>
      </c>
      <c r="D107" s="1609"/>
      <c r="E107" s="1609"/>
      <c r="F107" s="1609"/>
      <c r="G107" s="1609"/>
      <c r="H107" s="1609"/>
      <c r="I107" s="1609"/>
      <c r="J107" s="1609"/>
      <c r="K107" s="1609"/>
      <c r="L107" s="1609"/>
      <c r="M107" s="1609"/>
      <c r="N107" s="1730"/>
      <c r="O107" s="1729" t="s">
        <v>1276</v>
      </c>
      <c r="P107" s="1729"/>
      <c r="Q107" s="1727" t="s">
        <v>1322</v>
      </c>
      <c r="R107" s="1727"/>
      <c r="S107" s="1727" t="s">
        <v>1323</v>
      </c>
      <c r="T107" s="1727"/>
      <c r="U107" s="1727" t="s">
        <v>1390</v>
      </c>
      <c r="V107" s="1727"/>
    </row>
    <row r="108" spans="3:23" ht="12.75">
      <c r="C108" s="1553" t="s">
        <v>48</v>
      </c>
      <c r="D108" s="1553" t="s">
        <v>49</v>
      </c>
      <c r="E108" s="1553" t="s">
        <v>229</v>
      </c>
      <c r="F108" s="1536" t="s">
        <v>230</v>
      </c>
      <c r="G108" s="1553" t="s">
        <v>131</v>
      </c>
      <c r="H108" s="1553" t="s">
        <v>231</v>
      </c>
      <c r="I108" s="1553" t="s">
        <v>232</v>
      </c>
      <c r="J108" s="1553" t="s">
        <v>233</v>
      </c>
      <c r="K108" s="1604" t="s">
        <v>234</v>
      </c>
      <c r="L108" s="1605"/>
      <c r="M108" s="1605"/>
      <c r="N108" s="1605"/>
      <c r="O108" s="1731" t="s">
        <v>18</v>
      </c>
      <c r="P108" s="1731" t="s">
        <v>71</v>
      </c>
      <c r="Q108" s="1733" t="s">
        <v>18</v>
      </c>
      <c r="R108" s="1733" t="s">
        <v>71</v>
      </c>
      <c r="S108" s="1733" t="s">
        <v>1372</v>
      </c>
      <c r="T108" s="1733" t="s">
        <v>71</v>
      </c>
      <c r="U108" s="1733" t="s">
        <v>1372</v>
      </c>
      <c r="V108" s="1733" t="s">
        <v>71</v>
      </c>
    </row>
    <row r="109" spans="3:23" ht="12.75">
      <c r="C109" s="1553"/>
      <c r="D109" s="1553"/>
      <c r="E109" s="1553"/>
      <c r="F109" s="1556"/>
      <c r="G109" s="1553"/>
      <c r="H109" s="1553"/>
      <c r="I109" s="1553"/>
      <c r="J109" s="1553"/>
      <c r="K109" s="1557" t="s">
        <v>236</v>
      </c>
      <c r="L109" s="1558"/>
      <c r="M109" s="1574" t="s">
        <v>237</v>
      </c>
      <c r="N109" s="1721"/>
      <c r="O109" s="1732"/>
      <c r="P109" s="1732"/>
      <c r="Q109" s="1734"/>
      <c r="R109" s="1734"/>
      <c r="S109" s="1734"/>
      <c r="T109" s="1734"/>
      <c r="U109" s="1734"/>
      <c r="V109" s="1734"/>
    </row>
    <row r="110" spans="3:23" ht="12.75">
      <c r="C110" s="1553"/>
      <c r="D110" s="1553"/>
      <c r="E110" s="1553"/>
      <c r="F110" s="693" t="s">
        <v>238</v>
      </c>
      <c r="G110" s="1553"/>
      <c r="H110" s="1553"/>
      <c r="I110" s="1553"/>
      <c r="J110" s="1553"/>
      <c r="K110" s="104" t="s">
        <v>239</v>
      </c>
      <c r="L110" s="104" t="s">
        <v>240</v>
      </c>
      <c r="M110" s="104" t="s">
        <v>239</v>
      </c>
      <c r="N110" s="538" t="s">
        <v>240</v>
      </c>
      <c r="O110" s="1729"/>
      <c r="P110" s="1729"/>
      <c r="Q110" s="1735"/>
      <c r="R110" s="1735"/>
      <c r="S110" s="1735"/>
      <c r="T110" s="1735"/>
      <c r="U110" s="1735"/>
      <c r="V110" s="1735"/>
    </row>
    <row r="111" spans="3:23" ht="38.25">
      <c r="C111" s="478" t="s">
        <v>160</v>
      </c>
      <c r="D111" s="761">
        <v>215000000</v>
      </c>
      <c r="E111" s="106"/>
      <c r="F111" s="106"/>
      <c r="G111" s="106"/>
      <c r="H111" s="106"/>
      <c r="I111" s="106"/>
      <c r="J111" s="106"/>
      <c r="K111" s="106"/>
      <c r="L111" s="106"/>
      <c r="M111" s="106"/>
      <c r="N111" s="127"/>
      <c r="O111" s="712"/>
      <c r="P111" s="712"/>
      <c r="Q111" s="222"/>
      <c r="R111" s="222"/>
      <c r="S111" s="222"/>
      <c r="T111" s="222"/>
      <c r="U111" s="713"/>
      <c r="V111" s="713"/>
    </row>
    <row r="112" spans="3:23" ht="38.25">
      <c r="C112" s="476" t="s">
        <v>924</v>
      </c>
      <c r="D112" s="762">
        <v>41046286</v>
      </c>
      <c r="E112" s="124" t="s">
        <v>263</v>
      </c>
      <c r="F112" s="193" t="s">
        <v>925</v>
      </c>
      <c r="G112" s="479" t="s">
        <v>926</v>
      </c>
      <c r="H112" s="480">
        <v>50000000</v>
      </c>
      <c r="I112" s="106" t="s">
        <v>6</v>
      </c>
      <c r="J112" s="481">
        <v>42139</v>
      </c>
      <c r="K112" s="106"/>
      <c r="L112" s="106">
        <v>0</v>
      </c>
      <c r="M112" s="481">
        <v>42154</v>
      </c>
      <c r="N112" s="622">
        <v>50000000</v>
      </c>
      <c r="O112" s="725"/>
      <c r="P112" s="726" t="s">
        <v>1279</v>
      </c>
      <c r="Q112" s="56" t="s">
        <v>14</v>
      </c>
      <c r="R112" s="718" t="s">
        <v>1391</v>
      </c>
      <c r="S112" s="56"/>
      <c r="T112" s="718" t="s">
        <v>223</v>
      </c>
      <c r="U112" s="728" t="s">
        <v>14</v>
      </c>
      <c r="V112" s="728" t="s">
        <v>1334</v>
      </c>
      <c r="W112" s="1722">
        <v>1</v>
      </c>
    </row>
    <row r="113" spans="3:23" ht="38.25">
      <c r="C113" s="476" t="s">
        <v>53</v>
      </c>
      <c r="D113" s="762">
        <v>4471800</v>
      </c>
      <c r="E113" s="124" t="s">
        <v>263</v>
      </c>
      <c r="F113" s="193" t="s">
        <v>925</v>
      </c>
      <c r="G113" s="482" t="s">
        <v>927</v>
      </c>
      <c r="H113" s="480">
        <v>5000000</v>
      </c>
      <c r="I113" s="106" t="s">
        <v>6</v>
      </c>
      <c r="J113" s="481">
        <v>42139</v>
      </c>
      <c r="K113" s="106"/>
      <c r="L113" s="106">
        <v>0</v>
      </c>
      <c r="M113" s="481">
        <v>42323</v>
      </c>
      <c r="N113" s="622">
        <v>5000000</v>
      </c>
      <c r="O113" s="725"/>
      <c r="P113" s="726" t="s">
        <v>1279</v>
      </c>
      <c r="Q113" s="56" t="s">
        <v>14</v>
      </c>
      <c r="R113" s="718" t="s">
        <v>1392</v>
      </c>
      <c r="S113" s="56"/>
      <c r="T113" s="718" t="s">
        <v>217</v>
      </c>
      <c r="U113" s="728" t="s">
        <v>14</v>
      </c>
      <c r="V113" s="728" t="s">
        <v>1334</v>
      </c>
      <c r="W113" s="1722"/>
    </row>
    <row r="114" spans="3:23" ht="22.5">
      <c r="C114" s="483" t="s">
        <v>928</v>
      </c>
      <c r="D114" s="763">
        <v>2559318</v>
      </c>
      <c r="E114" s="124" t="s">
        <v>263</v>
      </c>
      <c r="F114" s="193" t="s">
        <v>925</v>
      </c>
      <c r="G114" s="484" t="s">
        <v>929</v>
      </c>
      <c r="H114" s="480">
        <v>3000000</v>
      </c>
      <c r="I114" s="106" t="s">
        <v>36</v>
      </c>
      <c r="J114" s="481">
        <v>42185</v>
      </c>
      <c r="K114" s="106"/>
      <c r="L114" s="106">
        <v>0</v>
      </c>
      <c r="M114" s="481">
        <v>42246</v>
      </c>
      <c r="N114" s="622">
        <v>3000000</v>
      </c>
      <c r="O114" s="725"/>
      <c r="P114" s="726" t="s">
        <v>1280</v>
      </c>
      <c r="Q114" s="56" t="s">
        <v>14</v>
      </c>
      <c r="R114" s="718" t="s">
        <v>1393</v>
      </c>
      <c r="S114" s="56"/>
      <c r="T114" s="718" t="s">
        <v>223</v>
      </c>
      <c r="U114" s="728" t="s">
        <v>14</v>
      </c>
      <c r="V114" s="728" t="s">
        <v>1334</v>
      </c>
      <c r="W114" s="1722"/>
    </row>
    <row r="115" spans="3:23" ht="25.5">
      <c r="C115" s="476" t="s">
        <v>930</v>
      </c>
      <c r="D115" s="762">
        <v>11885994</v>
      </c>
      <c r="E115" s="124" t="s">
        <v>263</v>
      </c>
      <c r="F115" s="193" t="s">
        <v>925</v>
      </c>
      <c r="G115" s="482" t="s">
        <v>931</v>
      </c>
      <c r="H115" s="480">
        <v>12000000</v>
      </c>
      <c r="I115" s="106" t="s">
        <v>36</v>
      </c>
      <c r="J115" s="481">
        <v>42185</v>
      </c>
      <c r="K115" s="106"/>
      <c r="L115" s="106">
        <v>0</v>
      </c>
      <c r="M115" s="481">
        <v>42246</v>
      </c>
      <c r="N115" s="622">
        <v>12000000</v>
      </c>
      <c r="O115" s="725"/>
      <c r="P115" s="726" t="s">
        <v>1280</v>
      </c>
      <c r="Q115" s="56" t="s">
        <v>14</v>
      </c>
      <c r="R115" s="718" t="s">
        <v>1393</v>
      </c>
      <c r="S115" s="56"/>
      <c r="T115" s="718" t="s">
        <v>223</v>
      </c>
      <c r="U115" s="728" t="s">
        <v>14</v>
      </c>
      <c r="V115" s="728" t="s">
        <v>1334</v>
      </c>
      <c r="W115" s="1722"/>
    </row>
    <row r="116" spans="3:23" ht="30">
      <c r="C116" s="483" t="s">
        <v>932</v>
      </c>
      <c r="D116" s="762">
        <v>3432556</v>
      </c>
      <c r="E116" s="124" t="s">
        <v>263</v>
      </c>
      <c r="F116" s="193" t="s">
        <v>925</v>
      </c>
      <c r="G116" s="484" t="s">
        <v>933</v>
      </c>
      <c r="H116" s="480">
        <v>5000000</v>
      </c>
      <c r="I116" s="106" t="s">
        <v>6</v>
      </c>
      <c r="J116" s="481">
        <v>42124</v>
      </c>
      <c r="K116" s="106"/>
      <c r="L116" s="106">
        <v>0</v>
      </c>
      <c r="M116" s="481">
        <v>42185</v>
      </c>
      <c r="N116" s="622">
        <v>5000000</v>
      </c>
      <c r="O116" s="725"/>
      <c r="P116" s="726" t="s">
        <v>1279</v>
      </c>
      <c r="Q116" s="56" t="s">
        <v>14</v>
      </c>
      <c r="R116" s="718" t="s">
        <v>1394</v>
      </c>
      <c r="S116" s="56"/>
      <c r="T116" s="718" t="s">
        <v>223</v>
      </c>
      <c r="U116" s="728" t="s">
        <v>14</v>
      </c>
      <c r="V116" s="728" t="s">
        <v>1334</v>
      </c>
      <c r="W116" s="1722"/>
    </row>
    <row r="117" spans="3:23" ht="38.25">
      <c r="C117" s="483" t="s">
        <v>934</v>
      </c>
      <c r="D117" s="762">
        <v>63514000</v>
      </c>
      <c r="E117" s="124" t="s">
        <v>263</v>
      </c>
      <c r="F117" s="193" t="s">
        <v>925</v>
      </c>
      <c r="G117" s="482" t="s">
        <v>935</v>
      </c>
      <c r="H117" s="480">
        <v>70000000</v>
      </c>
      <c r="I117" s="106" t="s">
        <v>6</v>
      </c>
      <c r="J117" s="481">
        <v>42139</v>
      </c>
      <c r="K117" s="106"/>
      <c r="L117" s="106">
        <v>0</v>
      </c>
      <c r="M117" s="481">
        <v>42338</v>
      </c>
      <c r="N117" s="622">
        <v>70000000</v>
      </c>
      <c r="O117" s="725"/>
      <c r="P117" s="726" t="s">
        <v>1279</v>
      </c>
      <c r="Q117" s="56" t="s">
        <v>14</v>
      </c>
      <c r="R117" s="718" t="s">
        <v>217</v>
      </c>
      <c r="S117" s="56"/>
      <c r="T117" s="718" t="s">
        <v>217</v>
      </c>
      <c r="U117" s="728" t="s">
        <v>14</v>
      </c>
      <c r="V117" s="728" t="s">
        <v>1334</v>
      </c>
      <c r="W117" s="1722"/>
    </row>
    <row r="118" spans="3:23" ht="60">
      <c r="C118" s="483" t="s">
        <v>936</v>
      </c>
      <c r="D118" s="762">
        <v>31872509</v>
      </c>
      <c r="E118" s="124" t="s">
        <v>263</v>
      </c>
      <c r="F118" s="193" t="s">
        <v>925</v>
      </c>
      <c r="G118" s="485" t="s">
        <v>937</v>
      </c>
      <c r="H118" s="480">
        <v>45000000</v>
      </c>
      <c r="I118" s="106" t="s">
        <v>6</v>
      </c>
      <c r="J118" s="481">
        <v>42139</v>
      </c>
      <c r="K118" s="106"/>
      <c r="L118" s="106">
        <v>0</v>
      </c>
      <c r="M118" s="481">
        <v>42338</v>
      </c>
      <c r="N118" s="622">
        <v>45000000</v>
      </c>
      <c r="O118" s="725"/>
      <c r="P118" s="726" t="s">
        <v>1279</v>
      </c>
      <c r="Q118" s="56" t="s">
        <v>37</v>
      </c>
      <c r="R118" s="718" t="s">
        <v>1395</v>
      </c>
      <c r="S118" s="56"/>
      <c r="T118" s="718" t="s">
        <v>217</v>
      </c>
      <c r="U118" s="728" t="s">
        <v>14</v>
      </c>
      <c r="V118" s="728" t="s">
        <v>1334</v>
      </c>
      <c r="W118" s="1722"/>
    </row>
    <row r="119" spans="3:23" ht="38.25">
      <c r="C119" s="483" t="s">
        <v>938</v>
      </c>
      <c r="D119" s="762">
        <v>24699999</v>
      </c>
      <c r="E119" s="124" t="s">
        <v>263</v>
      </c>
      <c r="F119" s="193" t="s">
        <v>925</v>
      </c>
      <c r="G119" s="482" t="s">
        <v>939</v>
      </c>
      <c r="H119" s="480">
        <v>25000000</v>
      </c>
      <c r="I119" s="106" t="s">
        <v>6</v>
      </c>
      <c r="J119" s="481">
        <v>42139</v>
      </c>
      <c r="K119" s="106"/>
      <c r="L119" s="106">
        <v>0</v>
      </c>
      <c r="M119" s="481">
        <v>42338</v>
      </c>
      <c r="N119" s="622">
        <v>25000000</v>
      </c>
      <c r="O119" s="725"/>
      <c r="P119" s="726" t="s">
        <v>1279</v>
      </c>
      <c r="Q119" s="56" t="s">
        <v>37</v>
      </c>
      <c r="R119" s="718" t="s">
        <v>1395</v>
      </c>
      <c r="S119" s="764"/>
      <c r="T119" s="718" t="s">
        <v>217</v>
      </c>
      <c r="U119" s="728" t="s">
        <v>14</v>
      </c>
      <c r="V119" s="728" t="s">
        <v>1334</v>
      </c>
      <c r="W119" s="1722"/>
    </row>
    <row r="120" spans="3:23" ht="39.75" customHeight="1">
      <c r="C120" s="483" t="s">
        <v>1396</v>
      </c>
      <c r="D120" s="762">
        <v>4471800</v>
      </c>
      <c r="E120" s="124" t="s">
        <v>263</v>
      </c>
      <c r="F120" s="193" t="s">
        <v>925</v>
      </c>
      <c r="G120" s="482" t="s">
        <v>1397</v>
      </c>
      <c r="H120" s="480">
        <v>5000000</v>
      </c>
      <c r="I120" s="106" t="s">
        <v>91</v>
      </c>
      <c r="J120" s="481">
        <v>42262</v>
      </c>
      <c r="K120" s="106"/>
      <c r="L120" s="106">
        <v>0</v>
      </c>
      <c r="M120" s="481">
        <v>42308</v>
      </c>
      <c r="N120" s="480">
        <v>4930000</v>
      </c>
      <c r="O120" s="725"/>
      <c r="P120" s="726"/>
      <c r="Q120" s="56"/>
      <c r="R120" s="718"/>
      <c r="S120" s="728" t="s">
        <v>14</v>
      </c>
      <c r="T120" s="718" t="s">
        <v>1398</v>
      </c>
      <c r="U120" s="728" t="s">
        <v>14</v>
      </c>
      <c r="V120" s="728" t="s">
        <v>1334</v>
      </c>
      <c r="W120" s="1722"/>
    </row>
    <row r="121" spans="3:23" ht="42.75" customHeight="1">
      <c r="C121" s="1728" t="s">
        <v>307</v>
      </c>
      <c r="D121" s="1728"/>
      <c r="E121" s="1728"/>
      <c r="F121" s="1728"/>
      <c r="G121" s="1728"/>
      <c r="H121" s="1728"/>
      <c r="I121" s="1728"/>
      <c r="J121" s="1728"/>
      <c r="K121" s="1728"/>
      <c r="L121" s="1728"/>
      <c r="M121" s="1728"/>
      <c r="N121" s="1728"/>
      <c r="O121" s="759"/>
      <c r="P121" s="759"/>
      <c r="Q121" s="753"/>
      <c r="R121" s="753"/>
      <c r="S121" s="753"/>
      <c r="T121" s="753"/>
      <c r="U121" s="754"/>
      <c r="V121" s="755"/>
    </row>
    <row r="122" spans="3:23" ht="23.25">
      <c r="C122" s="1609" t="s">
        <v>308</v>
      </c>
      <c r="D122" s="1609"/>
      <c r="E122" s="1609"/>
      <c r="F122" s="1609"/>
      <c r="G122" s="1609"/>
      <c r="H122" s="1609"/>
      <c r="I122" s="1609"/>
      <c r="J122" s="1609"/>
      <c r="K122" s="1609"/>
      <c r="L122" s="1609"/>
      <c r="M122" s="1609"/>
      <c r="N122" s="1609"/>
      <c r="O122" s="759"/>
      <c r="P122" s="759"/>
      <c r="Q122" s="753"/>
      <c r="R122" s="753"/>
      <c r="S122" s="753"/>
      <c r="T122" s="753"/>
      <c r="U122" s="754"/>
      <c r="V122" s="756"/>
    </row>
    <row r="123" spans="3:23" ht="23.25">
      <c r="C123" s="1609" t="s">
        <v>940</v>
      </c>
      <c r="D123" s="1609"/>
      <c r="E123" s="1609"/>
      <c r="F123" s="1609"/>
      <c r="G123" s="1609"/>
      <c r="H123" s="1609"/>
      <c r="I123" s="1609"/>
      <c r="J123" s="1609"/>
      <c r="K123" s="1609"/>
      <c r="L123" s="1609"/>
      <c r="M123" s="1609"/>
      <c r="N123" s="1609"/>
      <c r="O123" s="759"/>
      <c r="P123" s="759"/>
      <c r="Q123" s="753"/>
      <c r="R123" s="753"/>
      <c r="S123" s="753"/>
      <c r="T123" s="753"/>
      <c r="U123" s="754"/>
      <c r="V123" s="757"/>
    </row>
    <row r="124" spans="3:23" ht="23.25">
      <c r="C124" s="102"/>
      <c r="D124" s="102"/>
      <c r="E124" s="102"/>
      <c r="F124" s="102"/>
      <c r="G124" s="102"/>
      <c r="H124" s="102"/>
      <c r="I124" s="102"/>
      <c r="L124" s="1610" t="s">
        <v>228</v>
      </c>
      <c r="M124" s="1610"/>
      <c r="N124" s="1610"/>
      <c r="O124" s="1729" t="s">
        <v>1276</v>
      </c>
      <c r="P124" s="1729"/>
      <c r="Q124" s="1727" t="s">
        <v>1322</v>
      </c>
      <c r="R124" s="1727"/>
      <c r="S124" s="1727" t="s">
        <v>1323</v>
      </c>
      <c r="T124" s="1727"/>
      <c r="U124" s="1727" t="s">
        <v>1390</v>
      </c>
      <c r="V124" s="1727"/>
    </row>
    <row r="125" spans="3:23" ht="12.75">
      <c r="C125" s="1553" t="s">
        <v>48</v>
      </c>
      <c r="D125" s="1553" t="s">
        <v>49</v>
      </c>
      <c r="E125" s="1553" t="s">
        <v>229</v>
      </c>
      <c r="F125" s="1536" t="s">
        <v>230</v>
      </c>
      <c r="G125" s="1553" t="s">
        <v>131</v>
      </c>
      <c r="H125" s="1553" t="s">
        <v>231</v>
      </c>
      <c r="I125" s="1553" t="s">
        <v>232</v>
      </c>
      <c r="J125" s="1553" t="s">
        <v>233</v>
      </c>
      <c r="K125" s="1604" t="s">
        <v>234</v>
      </c>
      <c r="L125" s="1605"/>
      <c r="M125" s="1605"/>
      <c r="N125" s="1605"/>
      <c r="O125" s="1731" t="s">
        <v>18</v>
      </c>
      <c r="P125" s="1731" t="s">
        <v>71</v>
      </c>
      <c r="Q125" s="1733"/>
      <c r="R125" s="1733"/>
      <c r="S125" s="1733" t="s">
        <v>1372</v>
      </c>
      <c r="T125" s="1733" t="s">
        <v>71</v>
      </c>
      <c r="U125" s="1733" t="s">
        <v>1372</v>
      </c>
      <c r="V125" s="1733" t="s">
        <v>71</v>
      </c>
    </row>
    <row r="126" spans="3:23" ht="12.75">
      <c r="C126" s="1553"/>
      <c r="D126" s="1553"/>
      <c r="E126" s="1553"/>
      <c r="F126" s="1556"/>
      <c r="G126" s="1553"/>
      <c r="H126" s="1553"/>
      <c r="I126" s="1553"/>
      <c r="J126" s="1553"/>
      <c r="K126" s="1557" t="s">
        <v>236</v>
      </c>
      <c r="L126" s="1558"/>
      <c r="M126" s="1574" t="s">
        <v>237</v>
      </c>
      <c r="N126" s="1721"/>
      <c r="O126" s="1732"/>
      <c r="P126" s="1732"/>
      <c r="Q126" s="1734"/>
      <c r="R126" s="1734"/>
      <c r="S126" s="1734"/>
      <c r="T126" s="1734"/>
      <c r="U126" s="1734"/>
      <c r="V126" s="1734"/>
    </row>
    <row r="127" spans="3:23" ht="12.75">
      <c r="C127" s="1531"/>
      <c r="D127" s="1531"/>
      <c r="E127" s="1531"/>
      <c r="F127" s="691" t="s">
        <v>238</v>
      </c>
      <c r="G127" s="1531"/>
      <c r="H127" s="1531"/>
      <c r="I127" s="1531"/>
      <c r="J127" s="1531"/>
      <c r="K127" s="486" t="s">
        <v>239</v>
      </c>
      <c r="L127" s="486" t="s">
        <v>240</v>
      </c>
      <c r="M127" s="486" t="s">
        <v>239</v>
      </c>
      <c r="N127" s="623" t="s">
        <v>240</v>
      </c>
      <c r="O127" s="1729"/>
      <c r="P127" s="1729"/>
      <c r="Q127" s="1735"/>
      <c r="R127" s="1735"/>
      <c r="S127" s="1735"/>
      <c r="T127" s="1735"/>
      <c r="U127" s="1735"/>
      <c r="V127" s="1735"/>
    </row>
    <row r="128" spans="3:23" ht="12.75">
      <c r="C128" s="487"/>
      <c r="D128" s="487"/>
      <c r="E128" s="487"/>
      <c r="F128" s="487"/>
      <c r="G128" s="487"/>
      <c r="H128" s="487"/>
      <c r="I128" s="487"/>
      <c r="J128" s="487"/>
      <c r="K128" s="488"/>
      <c r="L128" s="488"/>
      <c r="M128" s="489"/>
      <c r="N128" s="489"/>
      <c r="O128" s="712"/>
      <c r="P128" s="712"/>
      <c r="Q128" s="222"/>
      <c r="R128" s="222"/>
      <c r="S128" s="222"/>
      <c r="T128" s="222"/>
      <c r="U128" s="713"/>
      <c r="V128" s="713"/>
    </row>
    <row r="129" spans="3:23" ht="15.75">
      <c r="C129" s="490">
        <v>21360801000001</v>
      </c>
      <c r="D129" s="491">
        <v>120000000</v>
      </c>
      <c r="E129" s="487"/>
      <c r="F129" s="487"/>
      <c r="G129" s="487"/>
      <c r="H129" s="487"/>
      <c r="I129" s="492"/>
      <c r="J129" s="492"/>
      <c r="K129" s="488"/>
      <c r="L129" s="488"/>
      <c r="M129" s="489"/>
      <c r="N129" s="489"/>
      <c r="O129" s="712"/>
      <c r="P129" s="712"/>
      <c r="Q129" s="222"/>
      <c r="R129" s="222"/>
      <c r="S129" s="222"/>
      <c r="T129" s="222"/>
      <c r="U129" s="713"/>
      <c r="V129" s="713"/>
    </row>
    <row r="130" spans="3:23" ht="31.5">
      <c r="C130" s="106"/>
      <c r="D130" s="493">
        <v>60000000</v>
      </c>
      <c r="E130" s="494" t="s">
        <v>941</v>
      </c>
      <c r="F130" s="106"/>
      <c r="G130" s="495" t="s">
        <v>942</v>
      </c>
      <c r="H130" s="496">
        <v>60000000</v>
      </c>
      <c r="I130" s="497" t="s">
        <v>6</v>
      </c>
      <c r="J130" s="498" t="s">
        <v>13</v>
      </c>
      <c r="K130" s="106"/>
      <c r="L130" s="106"/>
      <c r="M130" s="127"/>
      <c r="N130" s="127"/>
      <c r="O130" s="716"/>
      <c r="P130" s="717" t="s">
        <v>1281</v>
      </c>
      <c r="Q130" s="56" t="s">
        <v>37</v>
      </c>
      <c r="R130" s="720" t="s">
        <v>1399</v>
      </c>
      <c r="S130" s="56" t="s">
        <v>1400</v>
      </c>
      <c r="T130" s="720"/>
      <c r="U130" s="728" t="s">
        <v>14</v>
      </c>
      <c r="V130" s="728" t="s">
        <v>1327</v>
      </c>
      <c r="W130" s="1722">
        <f>29/30</f>
        <v>0.96666666666666667</v>
      </c>
    </row>
    <row r="131" spans="3:23" ht="31.5">
      <c r="C131" s="121"/>
      <c r="D131" s="499">
        <v>60000000</v>
      </c>
      <c r="E131" s="494" t="s">
        <v>943</v>
      </c>
      <c r="F131" s="124"/>
      <c r="G131" s="500" t="s">
        <v>1401</v>
      </c>
      <c r="H131" s="501">
        <v>60000000</v>
      </c>
      <c r="I131" s="497" t="s">
        <v>13</v>
      </c>
      <c r="J131" s="498" t="s">
        <v>36</v>
      </c>
      <c r="K131" s="106"/>
      <c r="L131" s="106"/>
      <c r="M131" s="127"/>
      <c r="N131" s="127"/>
      <c r="O131" s="716"/>
      <c r="P131" s="717" t="s">
        <v>1282</v>
      </c>
      <c r="Q131" s="56" t="s">
        <v>14</v>
      </c>
      <c r="R131" s="720" t="s">
        <v>1402</v>
      </c>
      <c r="S131" s="56" t="s">
        <v>1403</v>
      </c>
      <c r="T131" s="720"/>
      <c r="U131" s="728" t="s">
        <v>14</v>
      </c>
      <c r="V131" s="728" t="s">
        <v>1327</v>
      </c>
      <c r="W131" s="1722"/>
    </row>
    <row r="132" spans="3:23" ht="15.75">
      <c r="C132" s="502">
        <v>213608007</v>
      </c>
      <c r="D132" s="503">
        <v>265000000</v>
      </c>
      <c r="E132" s="504"/>
      <c r="F132" s="505"/>
      <c r="G132" s="506"/>
      <c r="H132" s="507"/>
      <c r="I132" s="504"/>
      <c r="J132" s="508"/>
      <c r="K132" s="505"/>
      <c r="L132" s="505"/>
      <c r="M132" s="509"/>
      <c r="N132" s="509"/>
      <c r="O132" s="712"/>
      <c r="P132" s="712"/>
      <c r="Q132" s="222"/>
      <c r="R132" s="222"/>
      <c r="S132" s="222"/>
      <c r="T132" s="222"/>
      <c r="U132" s="731"/>
      <c r="V132" s="731"/>
      <c r="W132" s="1722"/>
    </row>
    <row r="133" spans="3:23" ht="15.75">
      <c r="C133" s="510">
        <v>213608007000003</v>
      </c>
      <c r="D133" s="511">
        <v>40000000</v>
      </c>
      <c r="E133" s="497"/>
      <c r="F133" s="106"/>
      <c r="G133" s="512"/>
      <c r="H133" s="513"/>
      <c r="I133" s="497"/>
      <c r="J133" s="498"/>
      <c r="K133" s="106"/>
      <c r="L133" s="106"/>
      <c r="M133" s="127"/>
      <c r="N133" s="127"/>
      <c r="O133" s="712"/>
      <c r="P133" s="712"/>
      <c r="Q133" s="222"/>
      <c r="R133" s="222"/>
      <c r="S133" s="222"/>
      <c r="T133" s="222"/>
      <c r="U133" s="731"/>
      <c r="V133" s="731"/>
      <c r="W133" s="1722"/>
    </row>
    <row r="134" spans="3:23" ht="25.5">
      <c r="C134" s="514"/>
      <c r="D134" s="499">
        <v>40000000</v>
      </c>
      <c r="E134" s="494" t="s">
        <v>944</v>
      </c>
      <c r="F134" s="106"/>
      <c r="G134" s="495" t="s">
        <v>945</v>
      </c>
      <c r="H134" s="496">
        <v>40000000</v>
      </c>
      <c r="I134" s="497" t="s">
        <v>4</v>
      </c>
      <c r="J134" s="498" t="s">
        <v>5</v>
      </c>
      <c r="K134" s="106"/>
      <c r="L134" s="106"/>
      <c r="M134" s="127"/>
      <c r="N134" s="127"/>
      <c r="O134" s="716" t="s">
        <v>14</v>
      </c>
      <c r="P134" s="712" t="s">
        <v>1283</v>
      </c>
      <c r="Q134" s="56" t="s">
        <v>14</v>
      </c>
      <c r="R134" s="222" t="s">
        <v>1283</v>
      </c>
      <c r="S134" s="56" t="s">
        <v>1403</v>
      </c>
      <c r="T134" s="222"/>
      <c r="U134" s="728" t="s">
        <v>1404</v>
      </c>
      <c r="V134" s="765" t="s">
        <v>1405</v>
      </c>
      <c r="W134" s="1722"/>
    </row>
    <row r="135" spans="3:23" ht="33.75">
      <c r="C135" s="514"/>
      <c r="D135" s="499">
        <v>25000000</v>
      </c>
      <c r="E135" s="494" t="s">
        <v>946</v>
      </c>
      <c r="F135" s="106"/>
      <c r="G135" s="495" t="s">
        <v>1406</v>
      </c>
      <c r="H135" s="496" t="s">
        <v>947</v>
      </c>
      <c r="I135" s="497" t="s">
        <v>6</v>
      </c>
      <c r="J135" s="498" t="s">
        <v>13</v>
      </c>
      <c r="K135" s="106"/>
      <c r="L135" s="106"/>
      <c r="M135" s="127"/>
      <c r="N135" s="127"/>
      <c r="O135" s="716"/>
      <c r="P135" s="717" t="s">
        <v>1284</v>
      </c>
      <c r="Q135" s="56" t="s">
        <v>14</v>
      </c>
      <c r="R135" s="720" t="s">
        <v>1285</v>
      </c>
      <c r="S135" s="56" t="s">
        <v>1403</v>
      </c>
      <c r="T135" s="720"/>
      <c r="U135" s="728" t="s">
        <v>161</v>
      </c>
      <c r="V135" s="745" t="s">
        <v>1327</v>
      </c>
      <c r="W135" s="1722"/>
    </row>
    <row r="136" spans="3:23" ht="15.75">
      <c r="C136" s="515">
        <v>213608007000004</v>
      </c>
      <c r="D136" s="511">
        <v>40000000</v>
      </c>
      <c r="E136" s="497"/>
      <c r="F136" s="106"/>
      <c r="G136" s="495"/>
      <c r="H136" s="496"/>
      <c r="I136" s="497"/>
      <c r="J136" s="498"/>
      <c r="K136" s="106"/>
      <c r="L136" s="106"/>
      <c r="M136" s="127"/>
      <c r="N136" s="127"/>
      <c r="O136" s="712"/>
      <c r="P136" s="712"/>
      <c r="Q136" s="222"/>
      <c r="R136" s="222"/>
      <c r="S136" s="222"/>
      <c r="T136" s="222"/>
      <c r="U136" s="731"/>
      <c r="V136" s="731"/>
      <c r="W136" s="1722"/>
    </row>
    <row r="137" spans="3:23" ht="47.25" customHeight="1">
      <c r="C137" s="121"/>
      <c r="D137" s="499">
        <v>40000000</v>
      </c>
      <c r="E137" s="497" t="s">
        <v>948</v>
      </c>
      <c r="F137" s="106"/>
      <c r="G137" s="495" t="s">
        <v>949</v>
      </c>
      <c r="H137" s="496">
        <v>40000000</v>
      </c>
      <c r="I137" s="497" t="s">
        <v>5</v>
      </c>
      <c r="J137" s="498" t="s">
        <v>6</v>
      </c>
      <c r="K137" s="106"/>
      <c r="L137" s="106"/>
      <c r="M137" s="127"/>
      <c r="N137" s="127"/>
      <c r="O137" s="716" t="s">
        <v>14</v>
      </c>
      <c r="P137" s="717" t="s">
        <v>1285</v>
      </c>
      <c r="Q137" s="56" t="s">
        <v>14</v>
      </c>
      <c r="R137" s="720" t="s">
        <v>1285</v>
      </c>
      <c r="S137" s="56" t="s">
        <v>1407</v>
      </c>
      <c r="T137" s="720"/>
      <c r="U137" s="728" t="s">
        <v>14</v>
      </c>
      <c r="V137" s="728" t="s">
        <v>1327</v>
      </c>
      <c r="W137" s="1722"/>
    </row>
    <row r="138" spans="3:23" ht="15.75">
      <c r="C138" s="516">
        <v>2.13608007000006E+16</v>
      </c>
      <c r="D138" s="511">
        <v>50000000</v>
      </c>
      <c r="E138" s="497"/>
      <c r="F138" s="106"/>
      <c r="G138" s="495"/>
      <c r="H138" s="496"/>
      <c r="I138" s="497"/>
      <c r="J138" s="498"/>
      <c r="K138" s="106"/>
      <c r="L138" s="106"/>
      <c r="M138" s="127"/>
      <c r="N138" s="127"/>
      <c r="O138" s="712"/>
      <c r="P138" s="712"/>
      <c r="Q138" s="222"/>
      <c r="R138" s="222"/>
      <c r="S138" s="222"/>
      <c r="T138" s="222"/>
      <c r="U138" s="731"/>
      <c r="V138" s="731"/>
      <c r="W138" s="1722"/>
    </row>
    <row r="139" spans="3:23" ht="22.5">
      <c r="C139" s="121"/>
      <c r="D139" s="499">
        <v>50000000</v>
      </c>
      <c r="E139" s="497" t="s">
        <v>948</v>
      </c>
      <c r="F139" s="106"/>
      <c r="G139" s="495" t="s">
        <v>950</v>
      </c>
      <c r="H139" s="496">
        <v>50000000</v>
      </c>
      <c r="I139" s="497" t="s">
        <v>36</v>
      </c>
      <c r="J139" s="498" t="s">
        <v>69</v>
      </c>
      <c r="K139" s="106"/>
      <c r="L139" s="106"/>
      <c r="M139" s="127"/>
      <c r="N139" s="127"/>
      <c r="O139" s="716"/>
      <c r="P139" s="717" t="s">
        <v>1286</v>
      </c>
      <c r="Q139" s="56" t="s">
        <v>37</v>
      </c>
      <c r="R139" s="720" t="s">
        <v>1399</v>
      </c>
      <c r="S139" s="56" t="s">
        <v>1407</v>
      </c>
      <c r="T139" s="720"/>
      <c r="U139" s="728" t="s">
        <v>14</v>
      </c>
      <c r="V139" s="728" t="s">
        <v>1327</v>
      </c>
      <c r="W139" s="1722"/>
    </row>
    <row r="140" spans="3:23" ht="15.75">
      <c r="C140" s="515">
        <v>213608007000009</v>
      </c>
      <c r="D140" s="511">
        <v>25000000</v>
      </c>
      <c r="E140" s="497"/>
      <c r="F140" s="106"/>
      <c r="G140" s="495"/>
      <c r="H140" s="496"/>
      <c r="I140" s="497"/>
      <c r="J140" s="498"/>
      <c r="K140" s="106"/>
      <c r="L140" s="106"/>
      <c r="M140" s="127"/>
      <c r="N140" s="127"/>
      <c r="O140" s="712"/>
      <c r="P140" s="712"/>
      <c r="Q140" s="222"/>
      <c r="R140" s="222"/>
      <c r="S140" s="222"/>
      <c r="T140" s="222"/>
      <c r="U140" s="731"/>
      <c r="V140" s="731"/>
      <c r="W140" s="1722"/>
    </row>
    <row r="141" spans="3:23" ht="31.5">
      <c r="C141" s="121"/>
      <c r="D141" s="499">
        <v>25000000</v>
      </c>
      <c r="E141" s="494" t="s">
        <v>951</v>
      </c>
      <c r="F141" s="106"/>
      <c r="G141" s="495" t="s">
        <v>952</v>
      </c>
      <c r="H141" s="496">
        <v>25000000</v>
      </c>
      <c r="I141" s="497" t="s">
        <v>13</v>
      </c>
      <c r="J141" s="498" t="s">
        <v>36</v>
      </c>
      <c r="K141" s="106"/>
      <c r="L141" s="106"/>
      <c r="M141" s="127"/>
      <c r="N141" s="127"/>
      <c r="O141" s="716"/>
      <c r="P141" s="717" t="s">
        <v>1282</v>
      </c>
      <c r="Q141" s="56" t="s">
        <v>14</v>
      </c>
      <c r="R141" s="720" t="s">
        <v>1402</v>
      </c>
      <c r="S141" s="56" t="s">
        <v>1400</v>
      </c>
      <c r="T141" s="720"/>
      <c r="U141" s="728" t="s">
        <v>14</v>
      </c>
      <c r="V141" s="728" t="s">
        <v>1327</v>
      </c>
      <c r="W141" s="1722"/>
    </row>
    <row r="142" spans="3:23" ht="15.75">
      <c r="C142" s="510">
        <v>213608007000010</v>
      </c>
      <c r="D142" s="511">
        <v>50000000</v>
      </c>
      <c r="E142" s="494"/>
      <c r="F142" s="106"/>
      <c r="G142" s="495"/>
      <c r="H142" s="496"/>
      <c r="I142" s="497"/>
      <c r="J142" s="498"/>
      <c r="K142" s="106"/>
      <c r="L142" s="106"/>
      <c r="M142" s="127"/>
      <c r="N142" s="127"/>
      <c r="O142" s="712"/>
      <c r="P142" s="712"/>
      <c r="Q142" s="222"/>
      <c r="R142" s="222"/>
      <c r="S142" s="222"/>
      <c r="T142" s="222"/>
      <c r="U142" s="731"/>
      <c r="V142" s="731"/>
      <c r="W142" s="1722"/>
    </row>
    <row r="143" spans="3:23" ht="22.5">
      <c r="C143" s="121"/>
      <c r="D143" s="499">
        <v>30000000</v>
      </c>
      <c r="E143" s="497" t="s">
        <v>948</v>
      </c>
      <c r="F143" s="106"/>
      <c r="G143" s="495" t="s">
        <v>953</v>
      </c>
      <c r="H143" s="496">
        <v>50000000</v>
      </c>
      <c r="I143" s="497" t="s">
        <v>69</v>
      </c>
      <c r="J143" s="498" t="s">
        <v>89</v>
      </c>
      <c r="K143" s="106"/>
      <c r="L143" s="106"/>
      <c r="M143" s="127"/>
      <c r="N143" s="127"/>
      <c r="O143" s="716"/>
      <c r="P143" s="717" t="s">
        <v>1287</v>
      </c>
      <c r="Q143" s="56" t="s">
        <v>14</v>
      </c>
      <c r="R143" s="720" t="s">
        <v>1402</v>
      </c>
      <c r="S143" s="56" t="s">
        <v>1400</v>
      </c>
      <c r="T143" s="720"/>
      <c r="U143" s="728" t="s">
        <v>14</v>
      </c>
      <c r="V143" s="728" t="s">
        <v>1327</v>
      </c>
      <c r="W143" s="1722"/>
    </row>
    <row r="144" spans="3:23" ht="22.5">
      <c r="C144" s="121"/>
      <c r="D144" s="499">
        <v>10000000</v>
      </c>
      <c r="E144" s="497" t="s">
        <v>490</v>
      </c>
      <c r="F144" s="106"/>
      <c r="G144" s="495" t="s">
        <v>1408</v>
      </c>
      <c r="H144" s="496">
        <v>20000000</v>
      </c>
      <c r="I144" s="497" t="s">
        <v>6</v>
      </c>
      <c r="J144" s="498" t="s">
        <v>13</v>
      </c>
      <c r="K144" s="106"/>
      <c r="L144" s="106"/>
      <c r="M144" s="127"/>
      <c r="N144" s="127"/>
      <c r="O144" s="716"/>
      <c r="P144" s="717" t="s">
        <v>1281</v>
      </c>
      <c r="Q144" s="56" t="s">
        <v>14</v>
      </c>
      <c r="R144" s="222" t="s">
        <v>1283</v>
      </c>
      <c r="S144" s="56" t="s">
        <v>1400</v>
      </c>
      <c r="T144" s="222"/>
      <c r="U144" s="728" t="s">
        <v>14</v>
      </c>
      <c r="V144" s="728" t="s">
        <v>1327</v>
      </c>
      <c r="W144" s="1722"/>
    </row>
    <row r="145" spans="3:24" ht="22.5">
      <c r="C145" s="121"/>
      <c r="D145" s="499">
        <v>10000000</v>
      </c>
      <c r="E145" s="497" t="s">
        <v>948</v>
      </c>
      <c r="F145" s="106"/>
      <c r="G145" s="495" t="s">
        <v>954</v>
      </c>
      <c r="H145" s="496">
        <v>10000000</v>
      </c>
      <c r="I145" s="497" t="s">
        <v>13</v>
      </c>
      <c r="J145" s="498" t="s">
        <v>36</v>
      </c>
      <c r="K145" s="106"/>
      <c r="L145" s="106"/>
      <c r="M145" s="127"/>
      <c r="N145" s="127"/>
      <c r="O145" s="716"/>
      <c r="P145" s="717" t="s">
        <v>1282</v>
      </c>
      <c r="Q145" s="56" t="s">
        <v>37</v>
      </c>
      <c r="R145" s="720" t="s">
        <v>1399</v>
      </c>
      <c r="S145" s="56" t="s">
        <v>1403</v>
      </c>
      <c r="T145" s="720"/>
      <c r="U145" s="728" t="s">
        <v>14</v>
      </c>
      <c r="V145" s="728" t="s">
        <v>1327</v>
      </c>
      <c r="W145" s="1722"/>
    </row>
    <row r="146" spans="3:24" ht="15.75">
      <c r="C146" s="515">
        <v>2.1360800012E+16</v>
      </c>
      <c r="D146" s="511">
        <v>15000000</v>
      </c>
      <c r="E146" s="497"/>
      <c r="F146" s="106"/>
      <c r="G146" s="495"/>
      <c r="H146" s="496"/>
      <c r="I146" s="497"/>
      <c r="J146" s="498"/>
      <c r="K146" s="106"/>
      <c r="L146" s="106"/>
      <c r="M146" s="127"/>
      <c r="N146" s="127"/>
      <c r="O146" s="712"/>
      <c r="P146" s="712"/>
      <c r="Q146" s="222"/>
      <c r="R146" s="222"/>
      <c r="S146" s="222"/>
      <c r="T146" s="222"/>
      <c r="U146" s="731"/>
      <c r="V146" s="731"/>
      <c r="W146" s="1722"/>
    </row>
    <row r="147" spans="3:24" ht="31.5">
      <c r="C147" s="515"/>
      <c r="D147" s="499" t="s">
        <v>1409</v>
      </c>
      <c r="E147" s="494" t="s">
        <v>955</v>
      </c>
      <c r="F147" s="106"/>
      <c r="G147" s="495" t="s">
        <v>956</v>
      </c>
      <c r="H147" s="496">
        <v>10500000</v>
      </c>
      <c r="I147" s="517" t="s">
        <v>6</v>
      </c>
      <c r="J147" s="498" t="s">
        <v>13</v>
      </c>
      <c r="K147" s="106"/>
      <c r="L147" s="106"/>
      <c r="M147" s="127"/>
      <c r="N147" s="127"/>
      <c r="O147" s="716"/>
      <c r="P147" s="717" t="s">
        <v>1288</v>
      </c>
      <c r="Q147" s="56" t="s">
        <v>14</v>
      </c>
      <c r="R147" s="222" t="s">
        <v>1283</v>
      </c>
      <c r="S147" s="56" t="s">
        <v>1400</v>
      </c>
      <c r="T147" s="222"/>
      <c r="U147" s="728" t="s">
        <v>14</v>
      </c>
      <c r="V147" s="728" t="s">
        <v>1327</v>
      </c>
      <c r="W147" s="1722"/>
    </row>
    <row r="148" spans="3:24" ht="15.75">
      <c r="C148" s="121"/>
      <c r="D148" s="499">
        <v>4500000</v>
      </c>
      <c r="E148" s="766" t="s">
        <v>422</v>
      </c>
      <c r="F148" s="766"/>
      <c r="G148" s="766" t="s">
        <v>1410</v>
      </c>
      <c r="H148" s="767">
        <v>4500000</v>
      </c>
      <c r="I148" s="766" t="s">
        <v>70</v>
      </c>
      <c r="J148" s="524" t="s">
        <v>90</v>
      </c>
      <c r="K148" s="121"/>
      <c r="L148" s="121"/>
      <c r="M148" s="121"/>
      <c r="N148" s="121"/>
      <c r="O148" s="121"/>
      <c r="U148" s="19" t="s">
        <v>14</v>
      </c>
      <c r="V148" s="19" t="s">
        <v>1327</v>
      </c>
      <c r="W148" s="1722"/>
      <c r="X148" s="768"/>
    </row>
    <row r="149" spans="3:24" ht="15.75">
      <c r="C149" s="518">
        <v>213608010</v>
      </c>
      <c r="D149" s="519">
        <v>850000000</v>
      </c>
      <c r="E149" s="504"/>
      <c r="F149" s="505"/>
      <c r="G149" s="506"/>
      <c r="H149" s="507"/>
      <c r="I149" s="504"/>
      <c r="J149" s="520"/>
      <c r="K149" s="521"/>
      <c r="L149" s="521"/>
      <c r="M149" s="522"/>
      <c r="N149" s="522"/>
      <c r="O149" s="712"/>
      <c r="P149" s="712"/>
      <c r="Q149" s="222"/>
      <c r="R149" s="222"/>
      <c r="S149" s="222"/>
      <c r="T149" s="222"/>
      <c r="U149" s="731"/>
      <c r="V149" s="731"/>
      <c r="W149" s="1722"/>
    </row>
    <row r="150" spans="3:24" ht="15.75">
      <c r="C150" s="515">
        <v>213608010000002</v>
      </c>
      <c r="D150" s="523">
        <v>150000000</v>
      </c>
      <c r="E150" s="497"/>
      <c r="F150" s="106"/>
      <c r="G150" s="495"/>
      <c r="H150" s="496"/>
      <c r="I150" s="497"/>
      <c r="J150" s="524"/>
      <c r="K150" s="121"/>
      <c r="L150" s="121"/>
      <c r="M150" s="525"/>
      <c r="N150" s="525"/>
      <c r="O150" s="712"/>
      <c r="P150" s="712"/>
      <c r="Q150" s="222"/>
      <c r="R150" s="222"/>
      <c r="S150" s="222"/>
      <c r="T150" s="222"/>
      <c r="U150" s="731"/>
      <c r="V150" s="731"/>
      <c r="W150" s="1722"/>
    </row>
    <row r="151" spans="3:24" ht="47.25">
      <c r="C151" s="514"/>
      <c r="D151" s="496">
        <v>70000000</v>
      </c>
      <c r="E151" s="494" t="s">
        <v>957</v>
      </c>
      <c r="F151" s="106"/>
      <c r="G151" s="495" t="s">
        <v>958</v>
      </c>
      <c r="H151" s="496">
        <v>70000000</v>
      </c>
      <c r="I151" s="497" t="s">
        <v>5</v>
      </c>
      <c r="J151" s="524" t="s">
        <v>6</v>
      </c>
      <c r="K151" s="121"/>
      <c r="L151" s="121"/>
      <c r="M151" s="525"/>
      <c r="N151" s="525"/>
      <c r="O151" s="716" t="s">
        <v>14</v>
      </c>
      <c r="P151" s="717" t="s">
        <v>1289</v>
      </c>
      <c r="Q151" s="56" t="s">
        <v>14</v>
      </c>
      <c r="R151" s="222" t="s">
        <v>1283</v>
      </c>
      <c r="S151" s="56" t="s">
        <v>1411</v>
      </c>
      <c r="T151" s="222"/>
      <c r="U151" s="728" t="s">
        <v>14</v>
      </c>
      <c r="V151" s="728" t="s">
        <v>1327</v>
      </c>
      <c r="W151" s="1722"/>
    </row>
    <row r="152" spans="3:24" ht="31.5">
      <c r="C152" s="514"/>
      <c r="D152" s="496" t="s">
        <v>959</v>
      </c>
      <c r="E152" s="494" t="s">
        <v>960</v>
      </c>
      <c r="F152" s="106"/>
      <c r="G152" s="495" t="s">
        <v>961</v>
      </c>
      <c r="H152" s="496" t="s">
        <v>959</v>
      </c>
      <c r="I152" s="497" t="s">
        <v>36</v>
      </c>
      <c r="J152" s="526" t="s">
        <v>69</v>
      </c>
      <c r="K152" s="121"/>
      <c r="L152" s="121"/>
      <c r="M152" s="525"/>
      <c r="N152" s="525"/>
      <c r="O152" s="716"/>
      <c r="P152" s="717" t="s">
        <v>1286</v>
      </c>
      <c r="Q152" s="56" t="s">
        <v>37</v>
      </c>
      <c r="R152" s="720" t="s">
        <v>1399</v>
      </c>
      <c r="S152" s="56"/>
      <c r="T152" s="720" t="s">
        <v>1412</v>
      </c>
      <c r="U152" s="728"/>
      <c r="V152" s="728"/>
      <c r="W152" s="1722"/>
    </row>
    <row r="153" spans="3:24" ht="31.5">
      <c r="C153" s="514"/>
      <c r="D153" s="496">
        <v>50000000</v>
      </c>
      <c r="E153" s="497" t="s">
        <v>490</v>
      </c>
      <c r="F153" s="106"/>
      <c r="G153" s="495" t="s">
        <v>962</v>
      </c>
      <c r="H153" s="496">
        <v>50000000</v>
      </c>
      <c r="I153" s="497" t="s">
        <v>4</v>
      </c>
      <c r="J153" s="524" t="s">
        <v>5</v>
      </c>
      <c r="K153" s="121"/>
      <c r="L153" s="121"/>
      <c r="M153" s="525"/>
      <c r="N153" s="525"/>
      <c r="O153" s="716" t="s">
        <v>14</v>
      </c>
      <c r="P153" s="717" t="s">
        <v>1290</v>
      </c>
      <c r="Q153" s="56" t="s">
        <v>14</v>
      </c>
      <c r="R153" s="222" t="s">
        <v>1413</v>
      </c>
      <c r="S153" s="56" t="s">
        <v>1400</v>
      </c>
      <c r="T153" s="222"/>
      <c r="U153" s="728" t="s">
        <v>14</v>
      </c>
      <c r="V153" s="728" t="s">
        <v>1327</v>
      </c>
      <c r="W153" s="1722"/>
    </row>
    <row r="154" spans="3:24" ht="15.75">
      <c r="C154" s="515">
        <v>213608010000003</v>
      </c>
      <c r="D154" s="523">
        <v>100000000</v>
      </c>
      <c r="E154" s="497"/>
      <c r="F154" s="106"/>
      <c r="G154" s="495"/>
      <c r="H154" s="496"/>
      <c r="I154" s="497"/>
      <c r="J154" s="524"/>
      <c r="K154" s="121"/>
      <c r="L154" s="121"/>
      <c r="M154" s="525"/>
      <c r="N154" s="525"/>
      <c r="O154" s="712"/>
      <c r="P154" s="712"/>
      <c r="Q154" s="222"/>
      <c r="R154" s="222"/>
      <c r="S154" s="222"/>
      <c r="T154" s="222"/>
      <c r="U154" s="731"/>
      <c r="V154" s="731"/>
      <c r="W154" s="1722"/>
    </row>
    <row r="155" spans="3:24" ht="31.5">
      <c r="C155" s="514"/>
      <c r="D155" s="496">
        <v>42000000</v>
      </c>
      <c r="E155" s="494" t="s">
        <v>963</v>
      </c>
      <c r="F155" s="106"/>
      <c r="G155" s="495" t="s">
        <v>1414</v>
      </c>
      <c r="H155" s="496">
        <v>42000000</v>
      </c>
      <c r="I155" s="497" t="s">
        <v>13</v>
      </c>
      <c r="J155" s="524" t="s">
        <v>36</v>
      </c>
      <c r="K155" s="121"/>
      <c r="L155" s="121"/>
      <c r="M155" s="525"/>
      <c r="N155" s="525"/>
      <c r="O155" s="716"/>
      <c r="P155" s="717" t="s">
        <v>1282</v>
      </c>
      <c r="Q155" s="56"/>
      <c r="R155" s="720" t="s">
        <v>1415</v>
      </c>
      <c r="S155" s="56"/>
      <c r="T155" s="720" t="s">
        <v>1412</v>
      </c>
      <c r="U155" s="728" t="s">
        <v>14</v>
      </c>
      <c r="V155" s="728" t="s">
        <v>1327</v>
      </c>
      <c r="W155" s="1722"/>
    </row>
    <row r="156" spans="3:24" ht="22.5">
      <c r="C156" s="514"/>
      <c r="D156" s="496">
        <v>50000000</v>
      </c>
      <c r="E156" s="497" t="s">
        <v>964</v>
      </c>
      <c r="F156" s="106"/>
      <c r="G156" s="495" t="s">
        <v>965</v>
      </c>
      <c r="H156" s="496">
        <v>50000000</v>
      </c>
      <c r="I156" s="497" t="s">
        <v>6</v>
      </c>
      <c r="J156" s="524" t="s">
        <v>13</v>
      </c>
      <c r="K156" s="121"/>
      <c r="L156" s="121"/>
      <c r="M156" s="525"/>
      <c r="N156" s="525"/>
      <c r="O156" s="716"/>
      <c r="P156" s="717" t="s">
        <v>1291</v>
      </c>
      <c r="Q156" s="56" t="s">
        <v>14</v>
      </c>
      <c r="R156" s="222" t="s">
        <v>1416</v>
      </c>
      <c r="S156" s="56" t="s">
        <v>1400</v>
      </c>
      <c r="T156" s="222"/>
      <c r="U156" s="728" t="s">
        <v>14</v>
      </c>
      <c r="V156" s="728" t="s">
        <v>1327</v>
      </c>
      <c r="W156" s="1722"/>
    </row>
    <row r="157" spans="3:24" ht="15.75">
      <c r="C157" s="515">
        <v>213608010000004</v>
      </c>
      <c r="D157" s="523">
        <v>200000000</v>
      </c>
      <c r="E157" s="497"/>
      <c r="F157" s="106"/>
      <c r="G157" s="495"/>
      <c r="H157" s="496"/>
      <c r="I157" s="497"/>
      <c r="J157" s="524"/>
      <c r="K157" s="121"/>
      <c r="L157" s="121"/>
      <c r="M157" s="525"/>
      <c r="N157" s="525"/>
      <c r="O157" s="712"/>
      <c r="P157" s="712"/>
      <c r="Q157" s="222"/>
      <c r="R157" s="222"/>
      <c r="S157" s="222"/>
      <c r="T157" s="222"/>
      <c r="U157" s="731"/>
      <c r="V157" s="731"/>
      <c r="W157" s="1722"/>
    </row>
    <row r="158" spans="3:24" ht="22.5">
      <c r="C158" s="514"/>
      <c r="D158" s="496">
        <v>50000000</v>
      </c>
      <c r="E158" s="494" t="s">
        <v>966</v>
      </c>
      <c r="F158" s="106"/>
      <c r="G158" s="495" t="s">
        <v>967</v>
      </c>
      <c r="H158" s="496">
        <v>50000000</v>
      </c>
      <c r="I158" s="497" t="s">
        <v>5</v>
      </c>
      <c r="J158" s="527" t="s">
        <v>6</v>
      </c>
      <c r="K158" s="121"/>
      <c r="L158" s="121"/>
      <c r="M158" s="525"/>
      <c r="N158" s="525"/>
      <c r="O158" s="716" t="s">
        <v>14</v>
      </c>
      <c r="P158" s="717" t="s">
        <v>1292</v>
      </c>
      <c r="Q158" s="56" t="s">
        <v>14</v>
      </c>
      <c r="R158" s="222" t="s">
        <v>1413</v>
      </c>
      <c r="S158" s="56"/>
      <c r="T158" s="222"/>
      <c r="U158" s="728" t="s">
        <v>14</v>
      </c>
      <c r="V158" s="728" t="s">
        <v>1327</v>
      </c>
      <c r="W158" s="1722"/>
    </row>
    <row r="159" spans="3:24" ht="15.75">
      <c r="C159" s="514"/>
      <c r="D159" s="496">
        <v>100000000</v>
      </c>
      <c r="E159" s="497" t="s">
        <v>490</v>
      </c>
      <c r="F159" s="106"/>
      <c r="G159" s="495" t="s">
        <v>968</v>
      </c>
      <c r="H159" s="496">
        <v>100000000</v>
      </c>
      <c r="I159" s="497" t="s">
        <v>5</v>
      </c>
      <c r="J159" s="524"/>
      <c r="K159" s="121"/>
      <c r="L159" s="121"/>
      <c r="M159" s="525"/>
      <c r="N159" s="525"/>
      <c r="O159" s="716" t="s">
        <v>14</v>
      </c>
      <c r="P159" s="712" t="s">
        <v>1293</v>
      </c>
      <c r="Q159" s="56" t="s">
        <v>37</v>
      </c>
      <c r="R159" s="222" t="s">
        <v>1293</v>
      </c>
      <c r="S159" s="56"/>
      <c r="T159" s="222"/>
      <c r="U159" s="728" t="s">
        <v>14</v>
      </c>
      <c r="V159" s="728" t="s">
        <v>1327</v>
      </c>
      <c r="W159" s="1722"/>
    </row>
    <row r="160" spans="3:24" ht="22.5">
      <c r="C160" s="514"/>
      <c r="D160" s="496">
        <v>25000000</v>
      </c>
      <c r="E160" s="497" t="s">
        <v>969</v>
      </c>
      <c r="F160" s="106"/>
      <c r="G160" s="495" t="s">
        <v>970</v>
      </c>
      <c r="H160" s="496">
        <v>25000000</v>
      </c>
      <c r="I160" s="497" t="s">
        <v>4</v>
      </c>
      <c r="J160" s="524" t="s">
        <v>5</v>
      </c>
      <c r="K160" s="121"/>
      <c r="L160" s="121"/>
      <c r="M160" s="525"/>
      <c r="N160" s="525"/>
      <c r="O160" s="716" t="s">
        <v>14</v>
      </c>
      <c r="P160" s="717" t="s">
        <v>1294</v>
      </c>
      <c r="Q160" s="56" t="s">
        <v>14</v>
      </c>
      <c r="R160" s="222" t="s">
        <v>1283</v>
      </c>
      <c r="S160" s="56"/>
      <c r="T160" s="222"/>
      <c r="U160" s="728" t="s">
        <v>14</v>
      </c>
      <c r="V160" s="728" t="s">
        <v>1327</v>
      </c>
      <c r="W160" s="1722"/>
    </row>
    <row r="161" spans="3:23" ht="31.5">
      <c r="C161" s="514"/>
      <c r="D161" s="496">
        <v>25000000</v>
      </c>
      <c r="E161" s="497" t="s">
        <v>971</v>
      </c>
      <c r="F161" s="106"/>
      <c r="G161" s="495" t="s">
        <v>972</v>
      </c>
      <c r="H161" s="496">
        <v>25000000</v>
      </c>
      <c r="I161" s="497" t="s">
        <v>69</v>
      </c>
      <c r="J161" s="524" t="s">
        <v>89</v>
      </c>
      <c r="K161" s="121"/>
      <c r="L161" s="121"/>
      <c r="M161" s="525"/>
      <c r="N161" s="525"/>
      <c r="O161" s="716"/>
      <c r="P161" s="717" t="s">
        <v>1287</v>
      </c>
      <c r="Q161" s="56"/>
      <c r="R161" s="720" t="s">
        <v>1287</v>
      </c>
      <c r="S161" s="56"/>
      <c r="T161" s="720"/>
      <c r="U161" s="728" t="s">
        <v>14</v>
      </c>
      <c r="V161" s="728" t="s">
        <v>1327</v>
      </c>
      <c r="W161" s="1722"/>
    </row>
    <row r="162" spans="3:23" ht="15.75">
      <c r="C162" s="510">
        <v>2.13608010000005E+16</v>
      </c>
      <c r="D162" s="523">
        <v>30000000</v>
      </c>
      <c r="E162" s="497"/>
      <c r="F162" s="106"/>
      <c r="G162" s="495"/>
      <c r="H162" s="496"/>
      <c r="I162" s="497"/>
      <c r="J162" s="524"/>
      <c r="K162" s="121"/>
      <c r="L162" s="121"/>
      <c r="M162" s="525"/>
      <c r="N162" s="525"/>
      <c r="O162" s="712"/>
      <c r="P162" s="712"/>
      <c r="Q162" s="222"/>
      <c r="R162" s="222"/>
      <c r="S162" s="222"/>
      <c r="T162" s="222"/>
      <c r="U162" s="731"/>
      <c r="V162" s="731"/>
      <c r="W162" s="1722"/>
    </row>
    <row r="163" spans="3:23" ht="31.5">
      <c r="C163" s="514"/>
      <c r="D163" s="496">
        <v>30000000</v>
      </c>
      <c r="E163" s="497" t="s">
        <v>490</v>
      </c>
      <c r="F163" s="106"/>
      <c r="G163" s="495" t="s">
        <v>973</v>
      </c>
      <c r="H163" s="496">
        <v>30000000</v>
      </c>
      <c r="I163" s="497" t="s">
        <v>4</v>
      </c>
      <c r="J163" s="524" t="s">
        <v>5</v>
      </c>
      <c r="K163" s="121"/>
      <c r="L163" s="121"/>
      <c r="M163" s="525"/>
      <c r="N163" s="525"/>
      <c r="O163" s="716" t="s">
        <v>14</v>
      </c>
      <c r="P163" s="717" t="s">
        <v>1292</v>
      </c>
      <c r="Q163" s="56" t="s">
        <v>14</v>
      </c>
      <c r="R163" s="222" t="s">
        <v>1283</v>
      </c>
      <c r="S163" s="56" t="s">
        <v>1403</v>
      </c>
      <c r="T163" s="222"/>
      <c r="U163" s="728" t="s">
        <v>14</v>
      </c>
      <c r="V163" s="728" t="s">
        <v>1327</v>
      </c>
      <c r="W163" s="1722"/>
    </row>
    <row r="164" spans="3:23" ht="15.75">
      <c r="C164" s="490">
        <v>2.13608010000005E+16</v>
      </c>
      <c r="D164" s="523">
        <v>110000000</v>
      </c>
      <c r="E164" s="497"/>
      <c r="F164" s="106"/>
      <c r="G164" s="495"/>
      <c r="H164" s="496"/>
      <c r="I164" s="497"/>
      <c r="J164" s="524"/>
      <c r="K164" s="121"/>
      <c r="L164" s="121"/>
      <c r="M164" s="525"/>
      <c r="N164" s="525"/>
      <c r="O164" s="712"/>
      <c r="P164" s="712"/>
      <c r="Q164" s="222"/>
      <c r="R164" s="222"/>
      <c r="S164" s="222"/>
      <c r="T164" s="222"/>
      <c r="U164" s="731"/>
      <c r="V164" s="731"/>
      <c r="W164" s="1722"/>
    </row>
    <row r="165" spans="3:23" ht="31.5">
      <c r="C165" s="514"/>
      <c r="D165" s="496">
        <v>50000000</v>
      </c>
      <c r="E165" s="497" t="s">
        <v>490</v>
      </c>
      <c r="F165" s="106"/>
      <c r="G165" s="495" t="s">
        <v>974</v>
      </c>
      <c r="H165" s="496">
        <v>50000000</v>
      </c>
      <c r="I165" s="497" t="s">
        <v>4</v>
      </c>
      <c r="J165" s="524" t="s">
        <v>5</v>
      </c>
      <c r="K165" s="121"/>
      <c r="L165" s="121"/>
      <c r="M165" s="525"/>
      <c r="N165" s="525"/>
      <c r="O165" s="716" t="s">
        <v>14</v>
      </c>
      <c r="P165" s="717" t="s">
        <v>1292</v>
      </c>
      <c r="Q165" s="56" t="s">
        <v>14</v>
      </c>
      <c r="R165" s="222" t="s">
        <v>1413</v>
      </c>
      <c r="S165" s="56" t="s">
        <v>1400</v>
      </c>
      <c r="T165" s="222"/>
      <c r="U165" s="728" t="s">
        <v>14</v>
      </c>
      <c r="V165" s="728" t="s">
        <v>1327</v>
      </c>
      <c r="W165" s="1722"/>
    </row>
    <row r="166" spans="3:23" ht="31.5">
      <c r="C166" s="514"/>
      <c r="D166" s="496">
        <v>60000000</v>
      </c>
      <c r="E166" s="494" t="s">
        <v>975</v>
      </c>
      <c r="F166" s="106"/>
      <c r="G166" s="495" t="s">
        <v>976</v>
      </c>
      <c r="H166" s="496">
        <v>60000000</v>
      </c>
      <c r="I166" s="497" t="s">
        <v>4</v>
      </c>
      <c r="J166" s="524" t="s">
        <v>5</v>
      </c>
      <c r="K166" s="121"/>
      <c r="L166" s="121"/>
      <c r="M166" s="525"/>
      <c r="N166" s="525"/>
      <c r="O166" s="716" t="s">
        <v>14</v>
      </c>
      <c r="P166" s="717" t="s">
        <v>1292</v>
      </c>
      <c r="Q166" s="56" t="s">
        <v>14</v>
      </c>
      <c r="R166" s="222" t="s">
        <v>1413</v>
      </c>
      <c r="S166" s="56" t="s">
        <v>1400</v>
      </c>
      <c r="T166" s="222"/>
      <c r="U166" s="728" t="s">
        <v>14</v>
      </c>
      <c r="V166" s="728" t="s">
        <v>1327</v>
      </c>
      <c r="W166" s="1722"/>
    </row>
    <row r="167" spans="3:23" ht="15.75">
      <c r="C167" s="528" t="s">
        <v>977</v>
      </c>
      <c r="D167" s="523">
        <v>10000000</v>
      </c>
      <c r="E167" s="494"/>
      <c r="F167" s="106"/>
      <c r="G167" s="495"/>
      <c r="H167" s="496"/>
      <c r="I167" s="497"/>
      <c r="J167" s="524"/>
      <c r="K167" s="121"/>
      <c r="L167" s="121"/>
      <c r="M167" s="525"/>
      <c r="N167" s="525"/>
      <c r="O167" s="712"/>
      <c r="P167" s="712"/>
      <c r="Q167" s="222"/>
      <c r="R167" s="222"/>
      <c r="S167" s="222"/>
      <c r="T167" s="222"/>
      <c r="U167" s="731"/>
      <c r="V167" s="731"/>
      <c r="W167" s="1722"/>
    </row>
    <row r="168" spans="3:23" ht="22.5">
      <c r="C168" s="514"/>
      <c r="D168" s="496">
        <v>10000000</v>
      </c>
      <c r="E168" s="497" t="s">
        <v>490</v>
      </c>
      <c r="F168" s="106"/>
      <c r="G168" s="495" t="s">
        <v>978</v>
      </c>
      <c r="H168" s="496">
        <v>10000000</v>
      </c>
      <c r="I168" s="497" t="s">
        <v>4</v>
      </c>
      <c r="J168" s="524" t="s">
        <v>5</v>
      </c>
      <c r="K168" s="121"/>
      <c r="L168" s="121"/>
      <c r="M168" s="525"/>
      <c r="N168" s="525"/>
      <c r="O168" s="716" t="s">
        <v>14</v>
      </c>
      <c r="P168" s="717" t="s">
        <v>1292</v>
      </c>
      <c r="Q168" s="56" t="s">
        <v>14</v>
      </c>
      <c r="R168" s="222" t="s">
        <v>1413</v>
      </c>
      <c r="S168" s="56" t="s">
        <v>1400</v>
      </c>
      <c r="T168" s="222"/>
      <c r="U168" s="728" t="s">
        <v>14</v>
      </c>
      <c r="V168" s="728" t="s">
        <v>1327</v>
      </c>
      <c r="W168" s="1722"/>
    </row>
    <row r="169" spans="3:23" ht="15.75">
      <c r="C169" s="528" t="s">
        <v>979</v>
      </c>
      <c r="D169" s="523">
        <v>20000000</v>
      </c>
      <c r="E169" s="497"/>
      <c r="F169" s="106"/>
      <c r="G169" s="495"/>
      <c r="H169" s="496"/>
      <c r="I169" s="497"/>
      <c r="J169" s="524"/>
      <c r="K169" s="121"/>
      <c r="L169" s="121"/>
      <c r="M169" s="525"/>
      <c r="N169" s="525"/>
      <c r="O169" s="712"/>
      <c r="P169" s="712"/>
      <c r="Q169" s="222"/>
      <c r="R169" s="222"/>
      <c r="S169" s="222"/>
      <c r="T169" s="222"/>
      <c r="U169" s="731"/>
      <c r="V169" s="731"/>
      <c r="W169" s="1722"/>
    </row>
    <row r="170" spans="3:23" ht="22.5">
      <c r="C170" s="514"/>
      <c r="D170" s="496">
        <v>20000000</v>
      </c>
      <c r="E170" s="497" t="s">
        <v>490</v>
      </c>
      <c r="F170" s="106"/>
      <c r="G170" s="769" t="s">
        <v>980</v>
      </c>
      <c r="H170" s="496">
        <v>20000000</v>
      </c>
      <c r="I170" s="497" t="s">
        <v>89</v>
      </c>
      <c r="J170" s="524"/>
      <c r="K170" s="121"/>
      <c r="L170" s="121"/>
      <c r="M170" s="525"/>
      <c r="N170" s="525"/>
      <c r="O170" s="716"/>
      <c r="P170" s="717" t="s">
        <v>1295</v>
      </c>
      <c r="Q170" s="56"/>
      <c r="R170" s="720" t="s">
        <v>1295</v>
      </c>
      <c r="S170" s="56" t="s">
        <v>1400</v>
      </c>
      <c r="T170" s="720"/>
      <c r="U170" s="728" t="s">
        <v>14</v>
      </c>
      <c r="V170" s="728" t="s">
        <v>1327</v>
      </c>
      <c r="W170" s="1722"/>
    </row>
    <row r="171" spans="3:23" ht="15.75">
      <c r="C171" s="515">
        <v>213608010000007</v>
      </c>
      <c r="D171" s="523">
        <v>200000000</v>
      </c>
      <c r="E171" s="497"/>
      <c r="F171" s="106"/>
      <c r="G171" s="495"/>
      <c r="H171" s="496"/>
      <c r="I171" s="497"/>
      <c r="J171" s="524"/>
      <c r="K171" s="121"/>
      <c r="L171" s="121"/>
      <c r="M171" s="525"/>
      <c r="N171" s="525"/>
      <c r="O171" s="712"/>
      <c r="P171" s="712"/>
      <c r="Q171" s="222"/>
      <c r="R171" s="222"/>
      <c r="S171" s="222"/>
      <c r="T171" s="222"/>
      <c r="U171" s="731"/>
      <c r="V171" s="731"/>
      <c r="W171" s="1722"/>
    </row>
    <row r="172" spans="3:23" ht="31.5">
      <c r="C172" s="514"/>
      <c r="D172" s="496">
        <v>100000000</v>
      </c>
      <c r="E172" s="497" t="s">
        <v>981</v>
      </c>
      <c r="F172" s="106"/>
      <c r="G172" s="495" t="s">
        <v>982</v>
      </c>
      <c r="H172" s="496">
        <v>100000000</v>
      </c>
      <c r="I172" s="497" t="s">
        <v>983</v>
      </c>
      <c r="J172" s="524" t="s">
        <v>13</v>
      </c>
      <c r="K172" s="121"/>
      <c r="L172" s="121"/>
      <c r="M172" s="525"/>
      <c r="N172" s="525"/>
      <c r="O172" s="716"/>
      <c r="P172" s="717" t="s">
        <v>1296</v>
      </c>
      <c r="Q172" s="56" t="s">
        <v>14</v>
      </c>
      <c r="R172" s="720" t="s">
        <v>676</v>
      </c>
      <c r="S172" s="56" t="s">
        <v>1400</v>
      </c>
      <c r="T172" s="720"/>
      <c r="U172" s="728" t="s">
        <v>1331</v>
      </c>
      <c r="V172" s="728" t="s">
        <v>1327</v>
      </c>
      <c r="W172" s="1722"/>
    </row>
    <row r="173" spans="3:23" ht="31.5">
      <c r="C173" s="514"/>
      <c r="D173" s="496">
        <v>30000000</v>
      </c>
      <c r="E173" s="494" t="s">
        <v>984</v>
      </c>
      <c r="F173" s="106"/>
      <c r="G173" s="495" t="s">
        <v>985</v>
      </c>
      <c r="H173" s="496">
        <v>30000000</v>
      </c>
      <c r="I173" s="497" t="s">
        <v>983</v>
      </c>
      <c r="J173" s="524" t="s">
        <v>13</v>
      </c>
      <c r="K173" s="121"/>
      <c r="L173" s="121"/>
      <c r="M173" s="525"/>
      <c r="N173" s="525"/>
      <c r="O173" s="716" t="s">
        <v>14</v>
      </c>
      <c r="P173" s="717" t="s">
        <v>1297</v>
      </c>
      <c r="Q173" s="56" t="s">
        <v>14</v>
      </c>
      <c r="R173" s="222" t="s">
        <v>1416</v>
      </c>
      <c r="S173" s="222"/>
      <c r="T173" s="222"/>
      <c r="U173" s="728" t="s">
        <v>1331</v>
      </c>
      <c r="V173" s="728" t="s">
        <v>1327</v>
      </c>
      <c r="W173" s="1722"/>
    </row>
    <row r="174" spans="3:23" ht="51">
      <c r="C174" s="514"/>
      <c r="D174" s="496">
        <v>50000000</v>
      </c>
      <c r="E174" s="497" t="s">
        <v>490</v>
      </c>
      <c r="F174" s="106"/>
      <c r="G174" s="495" t="s">
        <v>986</v>
      </c>
      <c r="H174" s="496">
        <v>50000000</v>
      </c>
      <c r="I174" s="497" t="s">
        <v>983</v>
      </c>
      <c r="J174" s="524" t="s">
        <v>13</v>
      </c>
      <c r="K174" s="121"/>
      <c r="L174" s="121"/>
      <c r="M174" s="525"/>
      <c r="N174" s="525"/>
      <c r="O174" s="716"/>
      <c r="P174" s="717" t="s">
        <v>1296</v>
      </c>
      <c r="Q174" s="56"/>
      <c r="R174" s="720" t="s">
        <v>1417</v>
      </c>
      <c r="S174" s="56"/>
      <c r="T174" s="745" t="s">
        <v>1418</v>
      </c>
      <c r="U174" s="728"/>
      <c r="V174" s="765" t="s">
        <v>1419</v>
      </c>
      <c r="W174" s="1722"/>
    </row>
    <row r="175" spans="3:23" ht="31.5">
      <c r="C175" s="514"/>
      <c r="D175" s="496">
        <v>20000000</v>
      </c>
      <c r="E175" s="497" t="s">
        <v>987</v>
      </c>
      <c r="F175" s="106"/>
      <c r="G175" s="495" t="s">
        <v>988</v>
      </c>
      <c r="H175" s="496">
        <v>20000000</v>
      </c>
      <c r="I175" s="497" t="s">
        <v>4</v>
      </c>
      <c r="J175" s="524" t="s">
        <v>5</v>
      </c>
      <c r="K175" s="121"/>
      <c r="L175" s="121"/>
      <c r="M175" s="525"/>
      <c r="N175" s="525"/>
      <c r="O175" s="716" t="s">
        <v>14</v>
      </c>
      <c r="P175" s="717" t="s">
        <v>1298</v>
      </c>
      <c r="Q175" s="56" t="s">
        <v>14</v>
      </c>
      <c r="R175" s="222" t="s">
        <v>1413</v>
      </c>
      <c r="S175" s="56" t="s">
        <v>1400</v>
      </c>
      <c r="T175" s="222"/>
      <c r="U175" s="728" t="s">
        <v>14</v>
      </c>
      <c r="V175" s="728" t="s">
        <v>1327</v>
      </c>
      <c r="W175" s="1722"/>
    </row>
    <row r="176" spans="3:23" ht="15.75">
      <c r="C176" s="515">
        <v>213608010000010</v>
      </c>
      <c r="D176" s="529">
        <v>30000000</v>
      </c>
      <c r="E176" s="497"/>
      <c r="F176" s="106"/>
      <c r="G176" s="495"/>
      <c r="H176" s="530"/>
      <c r="I176" s="497"/>
      <c r="J176" s="524"/>
      <c r="K176" s="121"/>
      <c r="L176" s="121"/>
      <c r="M176" s="525"/>
      <c r="N176" s="525"/>
      <c r="O176" s="712"/>
      <c r="P176" s="712"/>
      <c r="Q176" s="222"/>
      <c r="R176" s="222"/>
      <c r="S176" s="56"/>
      <c r="T176" s="720"/>
      <c r="U176" s="728"/>
      <c r="V176" s="728"/>
      <c r="W176" s="1722"/>
    </row>
    <row r="177" spans="3:23" ht="31.5">
      <c r="C177" s="514"/>
      <c r="D177" s="530">
        <v>30000000</v>
      </c>
      <c r="E177" s="494" t="s">
        <v>989</v>
      </c>
      <c r="F177" s="106"/>
      <c r="G177" s="495" t="s">
        <v>990</v>
      </c>
      <c r="H177" s="530">
        <v>30000000</v>
      </c>
      <c r="I177" s="497" t="s">
        <v>991</v>
      </c>
      <c r="J177" s="524" t="s">
        <v>5</v>
      </c>
      <c r="K177" s="121"/>
      <c r="L177" s="121"/>
      <c r="M177" s="525"/>
      <c r="N177" s="525"/>
      <c r="O177" s="716"/>
      <c r="P177" s="717" t="s">
        <v>1296</v>
      </c>
      <c r="Q177" s="56" t="s">
        <v>14</v>
      </c>
      <c r="R177" s="720" t="s">
        <v>676</v>
      </c>
      <c r="S177" s="56" t="s">
        <v>1400</v>
      </c>
      <c r="T177" s="222"/>
      <c r="U177" s="728" t="s">
        <v>14</v>
      </c>
      <c r="V177" s="728" t="s">
        <v>1327</v>
      </c>
      <c r="W177" s="1722"/>
    </row>
    <row r="178" spans="3:23" ht="15.75">
      <c r="C178" s="531"/>
      <c r="D178" s="532"/>
      <c r="E178" s="504"/>
      <c r="F178" s="505"/>
      <c r="G178" s="533"/>
      <c r="H178" s="534"/>
      <c r="I178" s="504"/>
      <c r="J178" s="520"/>
      <c r="K178" s="521"/>
      <c r="L178" s="521"/>
      <c r="M178" s="522"/>
      <c r="N178" s="522"/>
      <c r="O178" s="712"/>
      <c r="P178" s="712"/>
      <c r="Q178" s="222"/>
      <c r="R178" s="222"/>
      <c r="S178" s="222"/>
      <c r="T178" s="222"/>
      <c r="U178" s="731"/>
      <c r="V178" s="731"/>
      <c r="W178" s="1722"/>
    </row>
    <row r="179" spans="3:23" ht="22.5">
      <c r="C179" s="514"/>
      <c r="D179" s="496">
        <v>50000000</v>
      </c>
      <c r="E179" s="494" t="s">
        <v>992</v>
      </c>
      <c r="F179" s="106"/>
      <c r="G179" s="535" t="s">
        <v>993</v>
      </c>
      <c r="H179" s="496">
        <v>50000000</v>
      </c>
      <c r="I179" s="497" t="s">
        <v>13</v>
      </c>
      <c r="J179" s="524" t="s">
        <v>36</v>
      </c>
      <c r="K179" s="121"/>
      <c r="L179" s="121"/>
      <c r="M179" s="525"/>
      <c r="N179" s="525"/>
      <c r="O179" s="716"/>
      <c r="P179" s="717" t="s">
        <v>1299</v>
      </c>
      <c r="Q179" s="56" t="s">
        <v>14</v>
      </c>
      <c r="R179" s="720" t="s">
        <v>676</v>
      </c>
      <c r="S179" s="56" t="s">
        <v>1400</v>
      </c>
      <c r="T179" s="720"/>
      <c r="U179" s="728" t="s">
        <v>14</v>
      </c>
      <c r="V179" s="728" t="s">
        <v>1327</v>
      </c>
      <c r="W179" s="1722"/>
    </row>
    <row r="180" spans="3:23" ht="27.75">
      <c r="C180" s="1728" t="s">
        <v>307</v>
      </c>
      <c r="D180" s="1728"/>
      <c r="E180" s="1728"/>
      <c r="F180" s="1728"/>
      <c r="G180" s="1728"/>
      <c r="H180" s="1728"/>
      <c r="I180" s="1728"/>
      <c r="J180" s="1728"/>
      <c r="K180" s="1728"/>
      <c r="L180" s="1728"/>
      <c r="M180" s="1728"/>
      <c r="N180" s="1765"/>
      <c r="O180" s="1766"/>
      <c r="P180" s="1767"/>
      <c r="Q180" s="1736"/>
      <c r="R180" s="1737"/>
      <c r="S180" s="1736"/>
      <c r="T180" s="1737"/>
      <c r="U180" s="1740"/>
      <c r="V180" s="1741"/>
    </row>
    <row r="181" spans="3:23" ht="23.25">
      <c r="C181" s="1609" t="s">
        <v>308</v>
      </c>
      <c r="D181" s="1609"/>
      <c r="E181" s="1609"/>
      <c r="F181" s="1609"/>
      <c r="G181" s="1609"/>
      <c r="H181" s="1609"/>
      <c r="I181" s="1609"/>
      <c r="J181" s="1609"/>
      <c r="K181" s="1609"/>
      <c r="L181" s="1609"/>
      <c r="M181" s="1609"/>
      <c r="N181" s="1730"/>
      <c r="O181" s="1768"/>
      <c r="P181" s="1769"/>
      <c r="Q181" s="1738"/>
      <c r="R181" s="1739"/>
      <c r="S181" s="1738"/>
      <c r="T181" s="1739"/>
      <c r="U181" s="1742"/>
      <c r="V181" s="1743"/>
    </row>
    <row r="182" spans="3:23" ht="23.25">
      <c r="C182" s="1609" t="s">
        <v>994</v>
      </c>
      <c r="D182" s="1609"/>
      <c r="E182" s="1609"/>
      <c r="F182" s="1609"/>
      <c r="G182" s="1609"/>
      <c r="H182" s="1609"/>
      <c r="I182" s="1609"/>
      <c r="J182" s="1609"/>
      <c r="K182" s="1609"/>
      <c r="L182" s="1609"/>
      <c r="M182" s="1609"/>
      <c r="N182" s="1730"/>
      <c r="O182" s="1774" t="s">
        <v>1276</v>
      </c>
      <c r="P182" s="1774"/>
      <c r="Q182" s="1724" t="s">
        <v>1322</v>
      </c>
      <c r="R182" s="1724"/>
      <c r="S182" s="1724" t="s">
        <v>1420</v>
      </c>
      <c r="T182" s="1724"/>
      <c r="U182" s="1744" t="s">
        <v>1421</v>
      </c>
      <c r="V182" s="1744"/>
    </row>
    <row r="183" spans="3:23" ht="12.75" customHeight="1">
      <c r="C183" s="1553" t="s">
        <v>48</v>
      </c>
      <c r="D183" s="1553" t="s">
        <v>49</v>
      </c>
      <c r="E183" s="1553" t="s">
        <v>229</v>
      </c>
      <c r="F183" s="1536" t="s">
        <v>230</v>
      </c>
      <c r="G183" s="1553" t="s">
        <v>131</v>
      </c>
      <c r="H183" s="1553" t="s">
        <v>231</v>
      </c>
      <c r="I183" s="1553" t="s">
        <v>232</v>
      </c>
      <c r="J183" s="1553" t="s">
        <v>233</v>
      </c>
      <c r="K183" s="1604" t="s">
        <v>234</v>
      </c>
      <c r="L183" s="1605"/>
      <c r="M183" s="1605"/>
      <c r="N183" s="1605"/>
      <c r="O183" s="1731" t="s">
        <v>18</v>
      </c>
      <c r="P183" s="1731" t="s">
        <v>71</v>
      </c>
      <c r="Q183" s="1733" t="s">
        <v>18</v>
      </c>
      <c r="R183" s="1733" t="s">
        <v>71</v>
      </c>
      <c r="S183" s="1733" t="s">
        <v>18</v>
      </c>
      <c r="T183" s="1733" t="s">
        <v>71</v>
      </c>
      <c r="U183" s="1745" t="s">
        <v>18</v>
      </c>
      <c r="V183" s="1745" t="s">
        <v>71</v>
      </c>
    </row>
    <row r="184" spans="3:23" ht="12.75">
      <c r="C184" s="1553"/>
      <c r="D184" s="1553"/>
      <c r="E184" s="1553"/>
      <c r="F184" s="1556"/>
      <c r="G184" s="1553"/>
      <c r="H184" s="1553"/>
      <c r="I184" s="1553"/>
      <c r="J184" s="1553"/>
      <c r="K184" s="1557" t="s">
        <v>236</v>
      </c>
      <c r="L184" s="1558"/>
      <c r="M184" s="1574" t="s">
        <v>237</v>
      </c>
      <c r="N184" s="1721"/>
      <c r="O184" s="1732"/>
      <c r="P184" s="1732"/>
      <c r="Q184" s="1734"/>
      <c r="R184" s="1734"/>
      <c r="S184" s="1734"/>
      <c r="T184" s="1734"/>
      <c r="U184" s="1746"/>
      <c r="V184" s="1746"/>
    </row>
    <row r="185" spans="3:23" ht="12.75">
      <c r="C185" s="1553"/>
      <c r="D185" s="1553"/>
      <c r="E185" s="1553"/>
      <c r="F185" s="693" t="s">
        <v>238</v>
      </c>
      <c r="G185" s="1553"/>
      <c r="H185" s="1553"/>
      <c r="I185" s="1553"/>
      <c r="J185" s="1553"/>
      <c r="K185" s="104" t="s">
        <v>239</v>
      </c>
      <c r="L185" s="104" t="s">
        <v>240</v>
      </c>
      <c r="M185" s="104" t="s">
        <v>239</v>
      </c>
      <c r="N185" s="538" t="s">
        <v>240</v>
      </c>
      <c r="O185" s="1729"/>
      <c r="P185" s="1729"/>
      <c r="Q185" s="1735"/>
      <c r="R185" s="1735"/>
      <c r="S185" s="1735"/>
      <c r="T185" s="1735"/>
      <c r="U185" s="1747"/>
      <c r="V185" s="1747"/>
    </row>
    <row r="186" spans="3:23" ht="39" thickBot="1">
      <c r="C186" s="478" t="s">
        <v>995</v>
      </c>
      <c r="D186" s="536"/>
      <c r="E186" s="106"/>
      <c r="F186" s="106"/>
      <c r="G186" s="106"/>
      <c r="H186" s="106"/>
      <c r="I186" s="106"/>
      <c r="J186" s="106"/>
      <c r="K186" s="106"/>
      <c r="L186" s="106"/>
      <c r="M186" s="106"/>
      <c r="N186" s="127"/>
      <c r="O186" s="712"/>
      <c r="P186" s="712"/>
      <c r="Q186" s="222"/>
      <c r="R186" s="222"/>
      <c r="S186" s="222"/>
      <c r="T186" s="222"/>
      <c r="U186" s="713"/>
      <c r="V186" s="770"/>
    </row>
    <row r="187" spans="3:23" ht="31.5" customHeight="1" thickTop="1" thickBot="1">
      <c r="C187" s="1770" t="s">
        <v>1422</v>
      </c>
      <c r="D187" s="771">
        <v>32756000</v>
      </c>
      <c r="E187" s="772" t="s">
        <v>1423</v>
      </c>
      <c r="F187" s="221"/>
      <c r="G187" s="1773" t="s">
        <v>996</v>
      </c>
      <c r="H187" s="773">
        <f>D187</f>
        <v>32756000</v>
      </c>
      <c r="I187" s="774" t="s">
        <v>36</v>
      </c>
      <c r="J187" s="775" t="s">
        <v>91</v>
      </c>
      <c r="K187" s="774"/>
      <c r="L187" s="774"/>
      <c r="M187" s="775" t="s">
        <v>1424</v>
      </c>
      <c r="N187" s="622">
        <f>H187</f>
        <v>32756000</v>
      </c>
      <c r="O187" s="1753" t="s">
        <v>14</v>
      </c>
      <c r="P187" s="1753" t="s">
        <v>1300</v>
      </c>
      <c r="Q187" s="56" t="s">
        <v>14</v>
      </c>
      <c r="R187" s="776" t="s">
        <v>1425</v>
      </c>
      <c r="S187" s="56" t="s">
        <v>14</v>
      </c>
      <c r="T187" s="776" t="s">
        <v>1426</v>
      </c>
      <c r="U187" s="777" t="s">
        <v>1427</v>
      </c>
      <c r="V187" s="778" t="s">
        <v>1334</v>
      </c>
      <c r="W187" s="1723">
        <f>12/13</f>
        <v>0.92307692307692313</v>
      </c>
    </row>
    <row r="188" spans="3:23" ht="46.5" thickTop="1" thickBot="1">
      <c r="C188" s="1771"/>
      <c r="D188" s="771">
        <v>1905442</v>
      </c>
      <c r="E188" s="772" t="s">
        <v>1428</v>
      </c>
      <c r="F188" s="221"/>
      <c r="G188" s="1762"/>
      <c r="H188" s="773">
        <f>D188</f>
        <v>1905442</v>
      </c>
      <c r="I188" s="774" t="s">
        <v>36</v>
      </c>
      <c r="J188" s="775" t="s">
        <v>91</v>
      </c>
      <c r="K188" s="774"/>
      <c r="L188" s="774"/>
      <c r="M188" s="775" t="s">
        <v>1429</v>
      </c>
      <c r="N188" s="779">
        <f>H188</f>
        <v>1905442</v>
      </c>
      <c r="O188" s="1754"/>
      <c r="P188" s="1756"/>
      <c r="Q188" s="56" t="s">
        <v>14</v>
      </c>
      <c r="R188" s="780" t="s">
        <v>1430</v>
      </c>
      <c r="S188" s="56" t="s">
        <v>14</v>
      </c>
      <c r="T188" s="780" t="s">
        <v>1431</v>
      </c>
      <c r="U188" s="777" t="s">
        <v>1427</v>
      </c>
      <c r="V188" s="778" t="s">
        <v>1334</v>
      </c>
      <c r="W188" s="1723"/>
    </row>
    <row r="189" spans="3:23" ht="61.5" thickTop="1" thickBot="1">
      <c r="C189" s="1771"/>
      <c r="D189" s="771">
        <v>1990000</v>
      </c>
      <c r="E189" s="781" t="s">
        <v>1432</v>
      </c>
      <c r="F189" s="221"/>
      <c r="G189" s="1762"/>
      <c r="H189" s="773">
        <f>D189</f>
        <v>1990000</v>
      </c>
      <c r="I189" s="774" t="s">
        <v>91</v>
      </c>
      <c r="J189" s="775" t="s">
        <v>70</v>
      </c>
      <c r="K189" s="774"/>
      <c r="L189" s="774"/>
      <c r="M189" s="775" t="s">
        <v>79</v>
      </c>
      <c r="N189" s="779">
        <f>H189</f>
        <v>1990000</v>
      </c>
      <c r="O189" s="1754"/>
      <c r="P189" s="1756"/>
      <c r="Q189" s="56" t="s">
        <v>14</v>
      </c>
      <c r="R189" s="780" t="s">
        <v>1430</v>
      </c>
      <c r="S189" s="56" t="s">
        <v>14</v>
      </c>
      <c r="T189" s="780" t="s">
        <v>1430</v>
      </c>
      <c r="U189" s="777" t="s">
        <v>1427</v>
      </c>
      <c r="V189" s="778" t="s">
        <v>1334</v>
      </c>
      <c r="W189" s="1723"/>
    </row>
    <row r="190" spans="3:23" ht="31.5" thickTop="1" thickBot="1">
      <c r="C190" s="1772"/>
      <c r="D190" s="771">
        <v>1978000</v>
      </c>
      <c r="E190" s="772" t="s">
        <v>1433</v>
      </c>
      <c r="F190" s="221"/>
      <c r="G190" s="1763"/>
      <c r="H190" s="773">
        <f>D190</f>
        <v>1978000</v>
      </c>
      <c r="I190" s="774" t="s">
        <v>36</v>
      </c>
      <c r="J190" s="775" t="s">
        <v>70</v>
      </c>
      <c r="K190" s="774"/>
      <c r="L190" s="774"/>
      <c r="M190" s="775" t="s">
        <v>79</v>
      </c>
      <c r="N190" s="622">
        <f>H190</f>
        <v>1978000</v>
      </c>
      <c r="O190" s="1755"/>
      <c r="P190" s="1757"/>
      <c r="Q190" s="56" t="s">
        <v>14</v>
      </c>
      <c r="R190" s="776" t="s">
        <v>1425</v>
      </c>
      <c r="S190" s="56" t="s">
        <v>14</v>
      </c>
      <c r="T190" s="776" t="s">
        <v>1434</v>
      </c>
      <c r="U190" s="777" t="s">
        <v>1427</v>
      </c>
      <c r="V190" s="778" t="s">
        <v>1334</v>
      </c>
      <c r="W190" s="1723"/>
    </row>
    <row r="191" spans="3:23" ht="40.5" customHeight="1" thickTop="1" thickBot="1">
      <c r="C191" s="1748" t="s">
        <v>1435</v>
      </c>
      <c r="D191" s="771">
        <v>41481056</v>
      </c>
      <c r="E191" s="782" t="s">
        <v>1436</v>
      </c>
      <c r="F191" s="221"/>
      <c r="G191" s="1751" t="s">
        <v>1437</v>
      </c>
      <c r="H191" s="773">
        <f>D191</f>
        <v>41481056</v>
      </c>
      <c r="I191" s="774" t="s">
        <v>36</v>
      </c>
      <c r="J191" s="775" t="s">
        <v>91</v>
      </c>
      <c r="K191" s="774"/>
      <c r="L191" s="774"/>
      <c r="M191" s="775" t="s">
        <v>1424</v>
      </c>
      <c r="N191" s="622">
        <f>H191</f>
        <v>41481056</v>
      </c>
      <c r="O191" s="1753" t="s">
        <v>14</v>
      </c>
      <c r="P191" s="1753" t="s">
        <v>1300</v>
      </c>
      <c r="Q191" s="56" t="s">
        <v>14</v>
      </c>
      <c r="R191" s="776" t="s">
        <v>1425</v>
      </c>
      <c r="S191" s="56" t="s">
        <v>14</v>
      </c>
      <c r="T191" s="776" t="s">
        <v>1426</v>
      </c>
      <c r="U191" s="777" t="s">
        <v>1427</v>
      </c>
      <c r="V191" s="778" t="s">
        <v>1334</v>
      </c>
      <c r="W191" s="1723"/>
    </row>
    <row r="192" spans="3:23" ht="31.5" thickTop="1" thickBot="1">
      <c r="C192" s="1749"/>
      <c r="D192" s="771">
        <v>2927000</v>
      </c>
      <c r="E192" s="783" t="s">
        <v>1438</v>
      </c>
      <c r="F192" s="221"/>
      <c r="G192" s="1752"/>
      <c r="H192" s="773">
        <f t="shared" ref="H192:H199" si="0">D192</f>
        <v>2927000</v>
      </c>
      <c r="I192" s="774" t="s">
        <v>36</v>
      </c>
      <c r="J192" s="775" t="s">
        <v>70</v>
      </c>
      <c r="K192" s="774"/>
      <c r="L192" s="774"/>
      <c r="M192" s="775" t="s">
        <v>79</v>
      </c>
      <c r="N192" s="622">
        <f t="shared" ref="N192:N199" si="1">H192</f>
        <v>2927000</v>
      </c>
      <c r="O192" s="1754"/>
      <c r="P192" s="1756"/>
      <c r="Q192" s="56" t="s">
        <v>14</v>
      </c>
      <c r="R192" s="776" t="s">
        <v>1425</v>
      </c>
      <c r="S192" s="56" t="s">
        <v>14</v>
      </c>
      <c r="T192" s="776" t="s">
        <v>1434</v>
      </c>
      <c r="U192" s="777" t="s">
        <v>1427</v>
      </c>
      <c r="V192" s="778" t="s">
        <v>1334</v>
      </c>
      <c r="W192" s="1723"/>
    </row>
    <row r="193" spans="3:23" ht="46.5" thickTop="1" thickBot="1">
      <c r="C193" s="1749"/>
      <c r="D193" s="771">
        <v>3092740</v>
      </c>
      <c r="E193" s="772" t="s">
        <v>1428</v>
      </c>
      <c r="F193" s="221"/>
      <c r="G193" s="1752"/>
      <c r="H193" s="773">
        <f t="shared" si="0"/>
        <v>3092740</v>
      </c>
      <c r="I193" s="774" t="s">
        <v>36</v>
      </c>
      <c r="J193" s="775" t="s">
        <v>91</v>
      </c>
      <c r="K193" s="774"/>
      <c r="L193" s="774"/>
      <c r="M193" s="775" t="s">
        <v>79</v>
      </c>
      <c r="N193" s="622">
        <f t="shared" si="1"/>
        <v>3092740</v>
      </c>
      <c r="O193" s="1754"/>
      <c r="P193" s="1756"/>
      <c r="Q193" s="56" t="s">
        <v>14</v>
      </c>
      <c r="R193" s="780" t="s">
        <v>1430</v>
      </c>
      <c r="S193" s="56" t="s">
        <v>14</v>
      </c>
      <c r="T193" s="780" t="s">
        <v>1431</v>
      </c>
      <c r="U193" s="777" t="s">
        <v>1427</v>
      </c>
      <c r="V193" s="778" t="s">
        <v>1334</v>
      </c>
      <c r="W193" s="1723"/>
    </row>
    <row r="194" spans="3:23" ht="61.5" thickTop="1" thickBot="1">
      <c r="C194" s="1750"/>
      <c r="D194" s="771">
        <v>3300000</v>
      </c>
      <c r="E194" s="781" t="s">
        <v>1432</v>
      </c>
      <c r="F194" s="774"/>
      <c r="G194" s="1752"/>
      <c r="H194" s="773">
        <f t="shared" si="0"/>
        <v>3300000</v>
      </c>
      <c r="I194" s="774" t="s">
        <v>91</v>
      </c>
      <c r="J194" s="775" t="s">
        <v>70</v>
      </c>
      <c r="K194" s="784"/>
      <c r="L194" s="784"/>
      <c r="M194" s="775" t="s">
        <v>79</v>
      </c>
      <c r="N194" s="480">
        <f t="shared" si="1"/>
        <v>3300000</v>
      </c>
      <c r="O194" s="1755"/>
      <c r="P194" s="1757"/>
      <c r="Q194" s="56" t="s">
        <v>14</v>
      </c>
      <c r="R194" s="785" t="s">
        <v>1430</v>
      </c>
      <c r="S194" s="56" t="s">
        <v>14</v>
      </c>
      <c r="T194" s="785" t="s">
        <v>1430</v>
      </c>
      <c r="U194" s="777" t="s">
        <v>1427</v>
      </c>
      <c r="V194" s="778" t="s">
        <v>1334</v>
      </c>
      <c r="W194" s="1723"/>
    </row>
    <row r="195" spans="3:23" ht="31.5" thickTop="1" thickBot="1">
      <c r="C195" s="1758" t="s">
        <v>1301</v>
      </c>
      <c r="D195" s="771">
        <v>1000000</v>
      </c>
      <c r="E195" s="781" t="s">
        <v>1439</v>
      </c>
      <c r="F195" s="221" t="s">
        <v>925</v>
      </c>
      <c r="G195" s="1761" t="s">
        <v>1302</v>
      </c>
      <c r="H195" s="773">
        <f t="shared" si="0"/>
        <v>1000000</v>
      </c>
      <c r="I195" s="774" t="s">
        <v>36</v>
      </c>
      <c r="J195" s="775" t="s">
        <v>70</v>
      </c>
      <c r="K195" s="774"/>
      <c r="L195" s="774"/>
      <c r="M195" s="775" t="s">
        <v>79</v>
      </c>
      <c r="N195" s="622">
        <f t="shared" si="1"/>
        <v>1000000</v>
      </c>
      <c r="O195" s="1753" t="s">
        <v>14</v>
      </c>
      <c r="P195" s="1764" t="s">
        <v>1300</v>
      </c>
      <c r="Q195" s="56" t="s">
        <v>14</v>
      </c>
      <c r="R195" s="776" t="s">
        <v>1425</v>
      </c>
      <c r="S195" s="56" t="s">
        <v>14</v>
      </c>
      <c r="T195" s="776" t="s">
        <v>1434</v>
      </c>
      <c r="U195" s="777" t="s">
        <v>1427</v>
      </c>
      <c r="V195" s="778" t="s">
        <v>1334</v>
      </c>
      <c r="W195" s="1723"/>
    </row>
    <row r="196" spans="3:23" ht="46.5" thickTop="1" thickBot="1">
      <c r="C196" s="1759"/>
      <c r="D196" s="771">
        <v>1199698</v>
      </c>
      <c r="E196" s="772" t="s">
        <v>1428</v>
      </c>
      <c r="F196" s="221"/>
      <c r="G196" s="1762"/>
      <c r="H196" s="773">
        <f t="shared" si="0"/>
        <v>1199698</v>
      </c>
      <c r="I196" s="774" t="s">
        <v>36</v>
      </c>
      <c r="J196" s="775" t="s">
        <v>91</v>
      </c>
      <c r="K196" s="774"/>
      <c r="L196" s="774"/>
      <c r="M196" s="775" t="s">
        <v>79</v>
      </c>
      <c r="N196" s="622">
        <f t="shared" si="1"/>
        <v>1199698</v>
      </c>
      <c r="O196" s="1754"/>
      <c r="P196" s="1719"/>
      <c r="Q196" s="56" t="s">
        <v>14</v>
      </c>
      <c r="R196" s="780" t="s">
        <v>1430</v>
      </c>
      <c r="S196" s="56" t="s">
        <v>14</v>
      </c>
      <c r="T196" s="780" t="s">
        <v>1431</v>
      </c>
      <c r="U196" s="777" t="s">
        <v>1427</v>
      </c>
      <c r="V196" s="778" t="s">
        <v>1334</v>
      </c>
      <c r="W196" s="1723"/>
    </row>
    <row r="197" spans="3:23" ht="16.5" thickTop="1" thickBot="1">
      <c r="C197" s="1759"/>
      <c r="D197" s="771">
        <v>4399999</v>
      </c>
      <c r="E197" s="781" t="s">
        <v>1440</v>
      </c>
      <c r="F197" s="221"/>
      <c r="G197" s="1762"/>
      <c r="H197" s="773"/>
      <c r="I197" s="774" t="s">
        <v>36</v>
      </c>
      <c r="J197" s="775" t="s">
        <v>91</v>
      </c>
      <c r="K197" s="774"/>
      <c r="L197" s="774"/>
      <c r="M197" s="775" t="s">
        <v>79</v>
      </c>
      <c r="N197" s="622">
        <f>D197</f>
        <v>4399999</v>
      </c>
      <c r="O197" s="1754"/>
      <c r="P197" s="1719"/>
      <c r="Q197" s="56"/>
      <c r="R197" s="780"/>
      <c r="S197" s="56"/>
      <c r="T197" s="776" t="s">
        <v>1426</v>
      </c>
      <c r="U197" s="777" t="s">
        <v>1427</v>
      </c>
      <c r="V197" s="778" t="s">
        <v>1334</v>
      </c>
      <c r="W197" s="1723"/>
    </row>
    <row r="198" spans="3:23" ht="105" customHeight="1" thickTop="1" thickBot="1">
      <c r="C198" s="1760"/>
      <c r="D198" s="771">
        <v>1980880</v>
      </c>
      <c r="E198" s="781" t="s">
        <v>1432</v>
      </c>
      <c r="F198" s="221"/>
      <c r="G198" s="1763"/>
      <c r="H198" s="773">
        <f t="shared" si="0"/>
        <v>1980880</v>
      </c>
      <c r="I198" s="774" t="s">
        <v>91</v>
      </c>
      <c r="J198" s="775" t="s">
        <v>70</v>
      </c>
      <c r="K198" s="774"/>
      <c r="L198" s="774"/>
      <c r="M198" s="775" t="s">
        <v>79</v>
      </c>
      <c r="N198" s="622">
        <f t="shared" si="1"/>
        <v>1980880</v>
      </c>
      <c r="O198" s="1755"/>
      <c r="P198" s="1720"/>
      <c r="Q198" s="786" t="s">
        <v>14</v>
      </c>
      <c r="R198" s="776" t="s">
        <v>1425</v>
      </c>
      <c r="S198" s="786" t="s">
        <v>14</v>
      </c>
      <c r="T198" s="785" t="s">
        <v>1430</v>
      </c>
      <c r="U198" s="777" t="s">
        <v>1427</v>
      </c>
      <c r="V198" s="778" t="s">
        <v>1334</v>
      </c>
      <c r="W198" s="1723"/>
    </row>
    <row r="199" spans="3:23" ht="75.75" thickTop="1">
      <c r="C199" s="483" t="s">
        <v>1441</v>
      </c>
      <c r="D199" s="787">
        <v>14000000</v>
      </c>
      <c r="E199" s="124" t="s">
        <v>263</v>
      </c>
      <c r="F199" s="193" t="s">
        <v>925</v>
      </c>
      <c r="G199" s="484" t="s">
        <v>1442</v>
      </c>
      <c r="H199" s="537">
        <f t="shared" si="0"/>
        <v>14000000</v>
      </c>
      <c r="I199" s="106" t="s">
        <v>5</v>
      </c>
      <c r="J199" s="481"/>
      <c r="K199" s="106"/>
      <c r="L199" s="106"/>
      <c r="M199" s="481"/>
      <c r="N199" s="622">
        <f t="shared" si="1"/>
        <v>14000000</v>
      </c>
      <c r="O199" s="716"/>
      <c r="P199" s="712"/>
      <c r="Q199" s="786" t="s">
        <v>37</v>
      </c>
      <c r="R199" s="788" t="s">
        <v>1443</v>
      </c>
      <c r="S199" s="789" t="s">
        <v>37</v>
      </c>
      <c r="T199" s="788" t="s">
        <v>1444</v>
      </c>
      <c r="U199" s="790"/>
      <c r="V199" s="788" t="s">
        <v>1444</v>
      </c>
      <c r="W199" s="1723"/>
    </row>
    <row r="200" spans="3:23" ht="15">
      <c r="D200" s="791"/>
      <c r="L200" s="624"/>
      <c r="M200" s="624" t="s">
        <v>1303</v>
      </c>
      <c r="N200" s="792"/>
      <c r="O200" s="792">
        <v>32</v>
      </c>
      <c r="P200" s="121"/>
      <c r="Q200" s="792">
        <v>97</v>
      </c>
      <c r="R200" s="121"/>
      <c r="S200" s="792">
        <v>80</v>
      </c>
      <c r="T200" s="121"/>
      <c r="U200" s="792">
        <v>100</v>
      </c>
      <c r="V200" s="121"/>
      <c r="W200" s="1222">
        <f>(W187+W130+W112+W104+W80+W12+W11)/7</f>
        <v>0.83753093753093755</v>
      </c>
    </row>
    <row r="201" spans="3:23" ht="15">
      <c r="L201" s="624"/>
      <c r="M201" s="624" t="s">
        <v>1151</v>
      </c>
      <c r="N201" s="792"/>
      <c r="O201" s="792">
        <v>32</v>
      </c>
      <c r="P201" s="121"/>
      <c r="Q201" s="792">
        <v>81</v>
      </c>
      <c r="R201" s="121"/>
      <c r="S201" s="792">
        <v>69</v>
      </c>
      <c r="T201" s="121"/>
      <c r="U201" s="792">
        <v>99</v>
      </c>
      <c r="V201" s="121"/>
    </row>
    <row r="202" spans="3:23" ht="15">
      <c r="L202" s="624"/>
      <c r="M202" s="624" t="s">
        <v>1445</v>
      </c>
      <c r="N202" s="793"/>
      <c r="O202" s="794">
        <f>O201/O200*100%</f>
        <v>1</v>
      </c>
      <c r="P202" s="730"/>
      <c r="Q202" s="794">
        <f>Q201/Q200*100%</f>
        <v>0.83505154639175261</v>
      </c>
      <c r="R202" s="121"/>
      <c r="S202" s="794">
        <f>S201/S200*100%</f>
        <v>0.86250000000000004</v>
      </c>
      <c r="T202" s="121"/>
      <c r="U202" s="794">
        <f>U201/U200*100%</f>
        <v>0.99</v>
      </c>
      <c r="V202" s="121"/>
    </row>
    <row r="203" spans="3:23" ht="15">
      <c r="L203" s="624"/>
      <c r="M203" s="624"/>
      <c r="N203" s="624"/>
      <c r="O203" s="624"/>
      <c r="U203" s="1223"/>
    </row>
    <row r="205" spans="3:23" ht="15">
      <c r="U205" s="795"/>
    </row>
  </sheetData>
  <mergeCells count="173">
    <mergeCell ref="C191:C194"/>
    <mergeCell ref="G191:G194"/>
    <mergeCell ref="O191:O194"/>
    <mergeCell ref="P191:P194"/>
    <mergeCell ref="C195:C198"/>
    <mergeCell ref="G195:G198"/>
    <mergeCell ref="O195:O198"/>
    <mergeCell ref="P195:P198"/>
    <mergeCell ref="C180:N180"/>
    <mergeCell ref="O180:P181"/>
    <mergeCell ref="C187:C190"/>
    <mergeCell ref="G187:G190"/>
    <mergeCell ref="O187:O190"/>
    <mergeCell ref="P187:P190"/>
    <mergeCell ref="K184:L184"/>
    <mergeCell ref="M184:N184"/>
    <mergeCell ref="C182:N182"/>
    <mergeCell ref="O182:P182"/>
    <mergeCell ref="Q180:R181"/>
    <mergeCell ref="S180:T181"/>
    <mergeCell ref="U180:V181"/>
    <mergeCell ref="C181:N181"/>
    <mergeCell ref="U182:V182"/>
    <mergeCell ref="C183:C185"/>
    <mergeCell ref="D183:D185"/>
    <mergeCell ref="E183:E185"/>
    <mergeCell ref="F183:F184"/>
    <mergeCell ref="G183:G185"/>
    <mergeCell ref="H183:H185"/>
    <mergeCell ref="I183:I185"/>
    <mergeCell ref="J183:J185"/>
    <mergeCell ref="K183:N183"/>
    <mergeCell ref="O183:O185"/>
    <mergeCell ref="P183:P185"/>
    <mergeCell ref="Q183:Q185"/>
    <mergeCell ref="R183:R185"/>
    <mergeCell ref="S183:S185"/>
    <mergeCell ref="T183:T185"/>
    <mergeCell ref="U183:U185"/>
    <mergeCell ref="V183:V185"/>
    <mergeCell ref="S182:T182"/>
    <mergeCell ref="U124:V124"/>
    <mergeCell ref="C125:C127"/>
    <mergeCell ref="D125:D127"/>
    <mergeCell ref="E125:E127"/>
    <mergeCell ref="F125:F126"/>
    <mergeCell ref="G125:G127"/>
    <mergeCell ref="H125:H127"/>
    <mergeCell ref="I125:I127"/>
    <mergeCell ref="J125:J127"/>
    <mergeCell ref="K125:N125"/>
    <mergeCell ref="O125:O127"/>
    <mergeCell ref="P125:P127"/>
    <mergeCell ref="Q125:Q127"/>
    <mergeCell ref="R125:R127"/>
    <mergeCell ref="S125:S127"/>
    <mergeCell ref="T125:T127"/>
    <mergeCell ref="U125:U127"/>
    <mergeCell ref="V125:V127"/>
    <mergeCell ref="K126:L126"/>
    <mergeCell ref="M126:N126"/>
    <mergeCell ref="K109:L109"/>
    <mergeCell ref="M109:N109"/>
    <mergeCell ref="C121:N121"/>
    <mergeCell ref="C122:N122"/>
    <mergeCell ref="C123:N123"/>
    <mergeCell ref="L124:N124"/>
    <mergeCell ref="O124:P124"/>
    <mergeCell ref="Q124:R124"/>
    <mergeCell ref="S124:T124"/>
    <mergeCell ref="C105:N105"/>
    <mergeCell ref="C106:N106"/>
    <mergeCell ref="C107:N107"/>
    <mergeCell ref="O107:P107"/>
    <mergeCell ref="Q107:R107"/>
    <mergeCell ref="S107:T107"/>
    <mergeCell ref="U107:V107"/>
    <mergeCell ref="C108:C110"/>
    <mergeCell ref="D108:D110"/>
    <mergeCell ref="E108:E110"/>
    <mergeCell ref="F108:F109"/>
    <mergeCell ref="G108:G110"/>
    <mergeCell ref="H108:H110"/>
    <mergeCell ref="I108:I110"/>
    <mergeCell ref="J108:J110"/>
    <mergeCell ref="K108:N108"/>
    <mergeCell ref="O108:O110"/>
    <mergeCell ref="P108:P110"/>
    <mergeCell ref="Q108:Q110"/>
    <mergeCell ref="R108:R110"/>
    <mergeCell ref="S108:S110"/>
    <mergeCell ref="T108:T110"/>
    <mergeCell ref="U108:U110"/>
    <mergeCell ref="V108:V110"/>
    <mergeCell ref="C101:C103"/>
    <mergeCell ref="D101:D103"/>
    <mergeCell ref="E101:E103"/>
    <mergeCell ref="F101:F102"/>
    <mergeCell ref="G101:G103"/>
    <mergeCell ref="H101:H103"/>
    <mergeCell ref="I101:I103"/>
    <mergeCell ref="J101:J103"/>
    <mergeCell ref="K101:N101"/>
    <mergeCell ref="K102:L102"/>
    <mergeCell ref="M102:N102"/>
    <mergeCell ref="L100:N100"/>
    <mergeCell ref="O100:O102"/>
    <mergeCell ref="P100:P102"/>
    <mergeCell ref="Q100:Q102"/>
    <mergeCell ref="R100:R102"/>
    <mergeCell ref="S100:S102"/>
    <mergeCell ref="T100:T102"/>
    <mergeCell ref="U100:U102"/>
    <mergeCell ref="V100:V102"/>
    <mergeCell ref="C97:N97"/>
    <mergeCell ref="C98:N98"/>
    <mergeCell ref="C99:N99"/>
    <mergeCell ref="O99:P99"/>
    <mergeCell ref="Q99:R99"/>
    <mergeCell ref="S99:T99"/>
    <mergeCell ref="U99:V99"/>
    <mergeCell ref="I76:I78"/>
    <mergeCell ref="J76:J78"/>
    <mergeCell ref="K76:N76"/>
    <mergeCell ref="O76:O78"/>
    <mergeCell ref="P76:P78"/>
    <mergeCell ref="Q76:Q78"/>
    <mergeCell ref="R76:R78"/>
    <mergeCell ref="S76:S78"/>
    <mergeCell ref="T76:T78"/>
    <mergeCell ref="D76:D78"/>
    <mergeCell ref="E76:E78"/>
    <mergeCell ref="F76:F77"/>
    <mergeCell ref="G76:G78"/>
    <mergeCell ref="H76:H78"/>
    <mergeCell ref="U76:U78"/>
    <mergeCell ref="V76:V78"/>
    <mergeCell ref="K77:L77"/>
    <mergeCell ref="Q8:R8"/>
    <mergeCell ref="S8:T8"/>
    <mergeCell ref="U8:V8"/>
    <mergeCell ref="C72:N72"/>
    <mergeCell ref="C73:N73"/>
    <mergeCell ref="C74:N74"/>
    <mergeCell ref="L75:N75"/>
    <mergeCell ref="O75:P75"/>
    <mergeCell ref="Q75:R75"/>
    <mergeCell ref="S75:T75"/>
    <mergeCell ref="U75:V75"/>
    <mergeCell ref="C76:C78"/>
    <mergeCell ref="M77:N77"/>
    <mergeCell ref="W12:W70"/>
    <mergeCell ref="W80:W95"/>
    <mergeCell ref="W112:W120"/>
    <mergeCell ref="W130:W179"/>
    <mergeCell ref="W187:W199"/>
    <mergeCell ref="C2:N2"/>
    <mergeCell ref="Q182:R182"/>
    <mergeCell ref="C3:N3"/>
    <mergeCell ref="C4:N4"/>
    <mergeCell ref="L5:N5"/>
    <mergeCell ref="C6:C8"/>
    <mergeCell ref="D6:D8"/>
    <mergeCell ref="E6:E8"/>
    <mergeCell ref="F6:F7"/>
    <mergeCell ref="G6:G8"/>
    <mergeCell ref="H6:H8"/>
    <mergeCell ref="I6:I8"/>
    <mergeCell ref="J6:J8"/>
    <mergeCell ref="K6:N6"/>
    <mergeCell ref="K7:L7"/>
    <mergeCell ref="M7:N7"/>
    <mergeCell ref="O8:P8"/>
  </mergeCells>
  <dataValidations count="3">
    <dataValidation type="whole" allowBlank="1" showInputMessage="1" showErrorMessage="1" errorTitle="Valor Asignado" error="Sólo se pueden introducir números en esta celda" promptTitle="Valor Asignado" prompt=" " sqref="D65598:F65604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131134:F131140 IV65598:IV65604 SR65598:SR65604 ACN65598:ACN65604 AMJ65598:AMJ65604 AWF65598:AWF65604 BGB65598:BGB65604 BPX65598:BPX65604 BZT65598:BZT65604 CJP65598:CJP65604 CTL65598:CTL65604 DDH65598:DDH65604 DND65598:DND65604 DWZ65598:DWZ65604 EGV65598:EGV65604 EQR65598:EQR65604 FAN65598:FAN65604 FKJ65598:FKJ65604 FUF65598:FUF65604 GEB65598:GEB65604 GNX65598:GNX65604 GXT65598:GXT65604 HHP65598:HHP65604 HRL65598:HRL65604 IBH65598:IBH65604 ILD65598:ILD65604 IUZ65598:IUZ65604 JEV65598:JEV65604 JOR65598:JOR65604 JYN65598:JYN65604 KIJ65598:KIJ65604 KSF65598:KSF65604 LCB65598:LCB65604 LLX65598:LLX65604 LVT65598:LVT65604 MFP65598:MFP65604 MPL65598:MPL65604 MZH65598:MZH65604 NJD65598:NJD65604 NSZ65598:NSZ65604 OCV65598:OCV65604 OMR65598:OMR65604 OWN65598:OWN65604 PGJ65598:PGJ65604 PQF65598:PQF65604 QAB65598:QAB65604 QJX65598:QJX65604 QTT65598:QTT65604 RDP65598:RDP65604 RNL65598:RNL65604 RXH65598:RXH65604 SHD65598:SHD65604 SQZ65598:SQZ65604 TAV65598:TAV65604 TKR65598:TKR65604 TUN65598:TUN65604 UEJ65598:UEJ65604 UOF65598:UOF65604 UYB65598:UYB65604 VHX65598:VHX65604 VRT65598:VRT65604 WBP65598:WBP65604 WLL65598:WLL65604 WVH65598:WVH65604 D196670:F196676 IV131134:IV131140 SR131134:SR131140 ACN131134:ACN131140 AMJ131134:AMJ131140 AWF131134:AWF131140 BGB131134:BGB131140 BPX131134:BPX131140 BZT131134:BZT131140 CJP131134:CJP131140 CTL131134:CTL131140 DDH131134:DDH131140 DND131134:DND131140 DWZ131134:DWZ131140 EGV131134:EGV131140 EQR131134:EQR131140 FAN131134:FAN131140 FKJ131134:FKJ131140 FUF131134:FUF131140 GEB131134:GEB131140 GNX131134:GNX131140 GXT131134:GXT131140 HHP131134:HHP131140 HRL131134:HRL131140 IBH131134:IBH131140 ILD131134:ILD131140 IUZ131134:IUZ131140 JEV131134:JEV131140 JOR131134:JOR131140 JYN131134:JYN131140 KIJ131134:KIJ131140 KSF131134:KSF131140 LCB131134:LCB131140 LLX131134:LLX131140 LVT131134:LVT131140 MFP131134:MFP131140 MPL131134:MPL131140 MZH131134:MZH131140 NJD131134:NJD131140 NSZ131134:NSZ131140 OCV131134:OCV131140 OMR131134:OMR131140 OWN131134:OWN131140 PGJ131134:PGJ131140 PQF131134:PQF131140 QAB131134:QAB131140 QJX131134:QJX131140 QTT131134:QTT131140 RDP131134:RDP131140 RNL131134:RNL131140 RXH131134:RXH131140 SHD131134:SHD131140 SQZ131134:SQZ131140 TAV131134:TAV131140 TKR131134:TKR131140 TUN131134:TUN131140 UEJ131134:UEJ131140 UOF131134:UOF131140 UYB131134:UYB131140 VHX131134:VHX131140 VRT131134:VRT131140 WBP131134:WBP131140 WLL131134:WLL131140 WVH131134:WVH131140 D262206:F262212 IV196670:IV196676 SR196670:SR196676 ACN196670:ACN196676 AMJ196670:AMJ196676 AWF196670:AWF196676 BGB196670:BGB196676 BPX196670:BPX196676 BZT196670:BZT196676 CJP196670:CJP196676 CTL196670:CTL196676 DDH196670:DDH196676 DND196670:DND196676 DWZ196670:DWZ196676 EGV196670:EGV196676 EQR196670:EQR196676 FAN196670:FAN196676 FKJ196670:FKJ196676 FUF196670:FUF196676 GEB196670:GEB196676 GNX196670:GNX196676 GXT196670:GXT196676 HHP196670:HHP196676 HRL196670:HRL196676 IBH196670:IBH196676 ILD196670:ILD196676 IUZ196670:IUZ196676 JEV196670:JEV196676 JOR196670:JOR196676 JYN196670:JYN196676 KIJ196670:KIJ196676 KSF196670:KSF196676 LCB196670:LCB196676 LLX196670:LLX196676 LVT196670:LVT196676 MFP196670:MFP196676 MPL196670:MPL196676 MZH196670:MZH196676 NJD196670:NJD196676 NSZ196670:NSZ196676 OCV196670:OCV196676 OMR196670:OMR196676 OWN196670:OWN196676 PGJ196670:PGJ196676 PQF196670:PQF196676 QAB196670:QAB196676 QJX196670:QJX196676 QTT196670:QTT196676 RDP196670:RDP196676 RNL196670:RNL196676 RXH196670:RXH196676 SHD196670:SHD196676 SQZ196670:SQZ196676 TAV196670:TAV196676 TKR196670:TKR196676 TUN196670:TUN196676 UEJ196670:UEJ196676 UOF196670:UOF196676 UYB196670:UYB196676 VHX196670:VHX196676 VRT196670:VRT196676 WBP196670:WBP196676 WLL196670:WLL196676 WVH196670:WVH196676 D327742:F327748 IV262206:IV262212 SR262206:SR262212 ACN262206:ACN262212 AMJ262206:AMJ262212 AWF262206:AWF262212 BGB262206:BGB262212 BPX262206:BPX262212 BZT262206:BZT262212 CJP262206:CJP262212 CTL262206:CTL262212 DDH262206:DDH262212 DND262206:DND262212 DWZ262206:DWZ262212 EGV262206:EGV262212 EQR262206:EQR262212 FAN262206:FAN262212 FKJ262206:FKJ262212 FUF262206:FUF262212 GEB262206:GEB262212 GNX262206:GNX262212 GXT262206:GXT262212 HHP262206:HHP262212 HRL262206:HRL262212 IBH262206:IBH262212 ILD262206:ILD262212 IUZ262206:IUZ262212 JEV262206:JEV262212 JOR262206:JOR262212 JYN262206:JYN262212 KIJ262206:KIJ262212 KSF262206:KSF262212 LCB262206:LCB262212 LLX262206:LLX262212 LVT262206:LVT262212 MFP262206:MFP262212 MPL262206:MPL262212 MZH262206:MZH262212 NJD262206:NJD262212 NSZ262206:NSZ262212 OCV262206:OCV262212 OMR262206:OMR262212 OWN262206:OWN262212 PGJ262206:PGJ262212 PQF262206:PQF262212 QAB262206:QAB262212 QJX262206:QJX262212 QTT262206:QTT262212 RDP262206:RDP262212 RNL262206:RNL262212 RXH262206:RXH262212 SHD262206:SHD262212 SQZ262206:SQZ262212 TAV262206:TAV262212 TKR262206:TKR262212 TUN262206:TUN262212 UEJ262206:UEJ262212 UOF262206:UOF262212 UYB262206:UYB262212 VHX262206:VHX262212 VRT262206:VRT262212 WBP262206:WBP262212 WLL262206:WLL262212 WVH262206:WVH262212 D393278:F393284 IV327742:IV327748 SR327742:SR327748 ACN327742:ACN327748 AMJ327742:AMJ327748 AWF327742:AWF327748 BGB327742:BGB327748 BPX327742:BPX327748 BZT327742:BZT327748 CJP327742:CJP327748 CTL327742:CTL327748 DDH327742:DDH327748 DND327742:DND327748 DWZ327742:DWZ327748 EGV327742:EGV327748 EQR327742:EQR327748 FAN327742:FAN327748 FKJ327742:FKJ327748 FUF327742:FUF327748 GEB327742:GEB327748 GNX327742:GNX327748 GXT327742:GXT327748 HHP327742:HHP327748 HRL327742:HRL327748 IBH327742:IBH327748 ILD327742:ILD327748 IUZ327742:IUZ327748 JEV327742:JEV327748 JOR327742:JOR327748 JYN327742:JYN327748 KIJ327742:KIJ327748 KSF327742:KSF327748 LCB327742:LCB327748 LLX327742:LLX327748 LVT327742:LVT327748 MFP327742:MFP327748 MPL327742:MPL327748 MZH327742:MZH327748 NJD327742:NJD327748 NSZ327742:NSZ327748 OCV327742:OCV327748 OMR327742:OMR327748 OWN327742:OWN327748 PGJ327742:PGJ327748 PQF327742:PQF327748 QAB327742:QAB327748 QJX327742:QJX327748 QTT327742:QTT327748 RDP327742:RDP327748 RNL327742:RNL327748 RXH327742:RXH327748 SHD327742:SHD327748 SQZ327742:SQZ327748 TAV327742:TAV327748 TKR327742:TKR327748 TUN327742:TUN327748 UEJ327742:UEJ327748 UOF327742:UOF327748 UYB327742:UYB327748 VHX327742:VHX327748 VRT327742:VRT327748 WBP327742:WBP327748 WLL327742:WLL327748 WVH327742:WVH327748 D458814:F458820 IV393278:IV393284 SR393278:SR393284 ACN393278:ACN393284 AMJ393278:AMJ393284 AWF393278:AWF393284 BGB393278:BGB393284 BPX393278:BPX393284 BZT393278:BZT393284 CJP393278:CJP393284 CTL393278:CTL393284 DDH393278:DDH393284 DND393278:DND393284 DWZ393278:DWZ393284 EGV393278:EGV393284 EQR393278:EQR393284 FAN393278:FAN393284 FKJ393278:FKJ393284 FUF393278:FUF393284 GEB393278:GEB393284 GNX393278:GNX393284 GXT393278:GXT393284 HHP393278:HHP393284 HRL393278:HRL393284 IBH393278:IBH393284 ILD393278:ILD393284 IUZ393278:IUZ393284 JEV393278:JEV393284 JOR393278:JOR393284 JYN393278:JYN393284 KIJ393278:KIJ393284 KSF393278:KSF393284 LCB393278:LCB393284 LLX393278:LLX393284 LVT393278:LVT393284 MFP393278:MFP393284 MPL393278:MPL393284 MZH393278:MZH393284 NJD393278:NJD393284 NSZ393278:NSZ393284 OCV393278:OCV393284 OMR393278:OMR393284 OWN393278:OWN393284 PGJ393278:PGJ393284 PQF393278:PQF393284 QAB393278:QAB393284 QJX393278:QJX393284 QTT393278:QTT393284 RDP393278:RDP393284 RNL393278:RNL393284 RXH393278:RXH393284 SHD393278:SHD393284 SQZ393278:SQZ393284 TAV393278:TAV393284 TKR393278:TKR393284 TUN393278:TUN393284 UEJ393278:UEJ393284 UOF393278:UOF393284 UYB393278:UYB393284 VHX393278:VHX393284 VRT393278:VRT393284 WBP393278:WBP393284 WLL393278:WLL393284 WVH393278:WVH393284 D524350:F524356 IV458814:IV458820 SR458814:SR458820 ACN458814:ACN458820 AMJ458814:AMJ458820 AWF458814:AWF458820 BGB458814:BGB458820 BPX458814:BPX458820 BZT458814:BZT458820 CJP458814:CJP458820 CTL458814:CTL458820 DDH458814:DDH458820 DND458814:DND458820 DWZ458814:DWZ458820 EGV458814:EGV458820 EQR458814:EQR458820 FAN458814:FAN458820 FKJ458814:FKJ458820 FUF458814:FUF458820 GEB458814:GEB458820 GNX458814:GNX458820 GXT458814:GXT458820 HHP458814:HHP458820 HRL458814:HRL458820 IBH458814:IBH458820 ILD458814:ILD458820 IUZ458814:IUZ458820 JEV458814:JEV458820 JOR458814:JOR458820 JYN458814:JYN458820 KIJ458814:KIJ458820 KSF458814:KSF458820 LCB458814:LCB458820 LLX458814:LLX458820 LVT458814:LVT458820 MFP458814:MFP458820 MPL458814:MPL458820 MZH458814:MZH458820 NJD458814:NJD458820 NSZ458814:NSZ458820 OCV458814:OCV458820 OMR458814:OMR458820 OWN458814:OWN458820 PGJ458814:PGJ458820 PQF458814:PQF458820 QAB458814:QAB458820 QJX458814:QJX458820 QTT458814:QTT458820 RDP458814:RDP458820 RNL458814:RNL458820 RXH458814:RXH458820 SHD458814:SHD458820 SQZ458814:SQZ458820 TAV458814:TAV458820 TKR458814:TKR458820 TUN458814:TUN458820 UEJ458814:UEJ458820 UOF458814:UOF458820 UYB458814:UYB458820 VHX458814:VHX458820 VRT458814:VRT458820 WBP458814:WBP458820 WLL458814:WLL458820 WVH458814:WVH458820 D589886:F589892 IV524350:IV524356 SR524350:SR524356 ACN524350:ACN524356 AMJ524350:AMJ524356 AWF524350:AWF524356 BGB524350:BGB524356 BPX524350:BPX524356 BZT524350:BZT524356 CJP524350:CJP524356 CTL524350:CTL524356 DDH524350:DDH524356 DND524350:DND524356 DWZ524350:DWZ524356 EGV524350:EGV524356 EQR524350:EQR524356 FAN524350:FAN524356 FKJ524350:FKJ524356 FUF524350:FUF524356 GEB524350:GEB524356 GNX524350:GNX524356 GXT524350:GXT524356 HHP524350:HHP524356 HRL524350:HRL524356 IBH524350:IBH524356 ILD524350:ILD524356 IUZ524350:IUZ524356 JEV524350:JEV524356 JOR524350:JOR524356 JYN524350:JYN524356 KIJ524350:KIJ524356 KSF524350:KSF524356 LCB524350:LCB524356 LLX524350:LLX524356 LVT524350:LVT524356 MFP524350:MFP524356 MPL524350:MPL524356 MZH524350:MZH524356 NJD524350:NJD524356 NSZ524350:NSZ524356 OCV524350:OCV524356 OMR524350:OMR524356 OWN524350:OWN524356 PGJ524350:PGJ524356 PQF524350:PQF524356 QAB524350:QAB524356 QJX524350:QJX524356 QTT524350:QTT524356 RDP524350:RDP524356 RNL524350:RNL524356 RXH524350:RXH524356 SHD524350:SHD524356 SQZ524350:SQZ524356 TAV524350:TAV524356 TKR524350:TKR524356 TUN524350:TUN524356 UEJ524350:UEJ524356 UOF524350:UOF524356 UYB524350:UYB524356 VHX524350:VHX524356 VRT524350:VRT524356 WBP524350:WBP524356 WLL524350:WLL524356 WVH524350:WVH524356 D655422:F655428 IV589886:IV589892 SR589886:SR589892 ACN589886:ACN589892 AMJ589886:AMJ589892 AWF589886:AWF589892 BGB589886:BGB589892 BPX589886:BPX589892 BZT589886:BZT589892 CJP589886:CJP589892 CTL589886:CTL589892 DDH589886:DDH589892 DND589886:DND589892 DWZ589886:DWZ589892 EGV589886:EGV589892 EQR589886:EQR589892 FAN589886:FAN589892 FKJ589886:FKJ589892 FUF589886:FUF589892 GEB589886:GEB589892 GNX589886:GNX589892 GXT589886:GXT589892 HHP589886:HHP589892 HRL589886:HRL589892 IBH589886:IBH589892 ILD589886:ILD589892 IUZ589886:IUZ589892 JEV589886:JEV589892 JOR589886:JOR589892 JYN589886:JYN589892 KIJ589886:KIJ589892 KSF589886:KSF589892 LCB589886:LCB589892 LLX589886:LLX589892 LVT589886:LVT589892 MFP589886:MFP589892 MPL589886:MPL589892 MZH589886:MZH589892 NJD589886:NJD589892 NSZ589886:NSZ589892 OCV589886:OCV589892 OMR589886:OMR589892 OWN589886:OWN589892 PGJ589886:PGJ589892 PQF589886:PQF589892 QAB589886:QAB589892 QJX589886:QJX589892 QTT589886:QTT589892 RDP589886:RDP589892 RNL589886:RNL589892 RXH589886:RXH589892 SHD589886:SHD589892 SQZ589886:SQZ589892 TAV589886:TAV589892 TKR589886:TKR589892 TUN589886:TUN589892 UEJ589886:UEJ589892 UOF589886:UOF589892 UYB589886:UYB589892 VHX589886:VHX589892 VRT589886:VRT589892 WBP589886:WBP589892 WLL589886:WLL589892 WVH589886:WVH589892 D720958:F720964 IV655422:IV655428 SR655422:SR655428 ACN655422:ACN655428 AMJ655422:AMJ655428 AWF655422:AWF655428 BGB655422:BGB655428 BPX655422:BPX655428 BZT655422:BZT655428 CJP655422:CJP655428 CTL655422:CTL655428 DDH655422:DDH655428 DND655422:DND655428 DWZ655422:DWZ655428 EGV655422:EGV655428 EQR655422:EQR655428 FAN655422:FAN655428 FKJ655422:FKJ655428 FUF655422:FUF655428 GEB655422:GEB655428 GNX655422:GNX655428 GXT655422:GXT655428 HHP655422:HHP655428 HRL655422:HRL655428 IBH655422:IBH655428 ILD655422:ILD655428 IUZ655422:IUZ655428 JEV655422:JEV655428 JOR655422:JOR655428 JYN655422:JYN655428 KIJ655422:KIJ655428 KSF655422:KSF655428 LCB655422:LCB655428 LLX655422:LLX655428 LVT655422:LVT655428 MFP655422:MFP655428 MPL655422:MPL655428 MZH655422:MZH655428 NJD655422:NJD655428 NSZ655422:NSZ655428 OCV655422:OCV655428 OMR655422:OMR655428 OWN655422:OWN655428 PGJ655422:PGJ655428 PQF655422:PQF655428 QAB655422:QAB655428 QJX655422:QJX655428 QTT655422:QTT655428 RDP655422:RDP655428 RNL655422:RNL655428 RXH655422:RXH655428 SHD655422:SHD655428 SQZ655422:SQZ655428 TAV655422:TAV655428 TKR655422:TKR655428 TUN655422:TUN655428 UEJ655422:UEJ655428 UOF655422:UOF655428 UYB655422:UYB655428 VHX655422:VHX655428 VRT655422:VRT655428 WBP655422:WBP655428 WLL655422:WLL655428 WVH655422:WVH655428 D786494:F786500 IV720958:IV720964 SR720958:SR720964 ACN720958:ACN720964 AMJ720958:AMJ720964 AWF720958:AWF720964 BGB720958:BGB720964 BPX720958:BPX720964 BZT720958:BZT720964 CJP720958:CJP720964 CTL720958:CTL720964 DDH720958:DDH720964 DND720958:DND720964 DWZ720958:DWZ720964 EGV720958:EGV720964 EQR720958:EQR720964 FAN720958:FAN720964 FKJ720958:FKJ720964 FUF720958:FUF720964 GEB720958:GEB720964 GNX720958:GNX720964 GXT720958:GXT720964 HHP720958:HHP720964 HRL720958:HRL720964 IBH720958:IBH720964 ILD720958:ILD720964 IUZ720958:IUZ720964 JEV720958:JEV720964 JOR720958:JOR720964 JYN720958:JYN720964 KIJ720958:KIJ720964 KSF720958:KSF720964 LCB720958:LCB720964 LLX720958:LLX720964 LVT720958:LVT720964 MFP720958:MFP720964 MPL720958:MPL720964 MZH720958:MZH720964 NJD720958:NJD720964 NSZ720958:NSZ720964 OCV720958:OCV720964 OMR720958:OMR720964 OWN720958:OWN720964 PGJ720958:PGJ720964 PQF720958:PQF720964 QAB720958:QAB720964 QJX720958:QJX720964 QTT720958:QTT720964 RDP720958:RDP720964 RNL720958:RNL720964 RXH720958:RXH720964 SHD720958:SHD720964 SQZ720958:SQZ720964 TAV720958:TAV720964 TKR720958:TKR720964 TUN720958:TUN720964 UEJ720958:UEJ720964 UOF720958:UOF720964 UYB720958:UYB720964 VHX720958:VHX720964 VRT720958:VRT720964 WBP720958:WBP720964 WLL720958:WLL720964 WVH720958:WVH720964 D852030:F852036 IV786494:IV786500 SR786494:SR786500 ACN786494:ACN786500 AMJ786494:AMJ786500 AWF786494:AWF786500 BGB786494:BGB786500 BPX786494:BPX786500 BZT786494:BZT786500 CJP786494:CJP786500 CTL786494:CTL786500 DDH786494:DDH786500 DND786494:DND786500 DWZ786494:DWZ786500 EGV786494:EGV786500 EQR786494:EQR786500 FAN786494:FAN786500 FKJ786494:FKJ786500 FUF786494:FUF786500 GEB786494:GEB786500 GNX786494:GNX786500 GXT786494:GXT786500 HHP786494:HHP786500 HRL786494:HRL786500 IBH786494:IBH786500 ILD786494:ILD786500 IUZ786494:IUZ786500 JEV786494:JEV786500 JOR786494:JOR786500 JYN786494:JYN786500 KIJ786494:KIJ786500 KSF786494:KSF786500 LCB786494:LCB786500 LLX786494:LLX786500 LVT786494:LVT786500 MFP786494:MFP786500 MPL786494:MPL786500 MZH786494:MZH786500 NJD786494:NJD786500 NSZ786494:NSZ786500 OCV786494:OCV786500 OMR786494:OMR786500 OWN786494:OWN786500 PGJ786494:PGJ786500 PQF786494:PQF786500 QAB786494:QAB786500 QJX786494:QJX786500 QTT786494:QTT786500 RDP786494:RDP786500 RNL786494:RNL786500 RXH786494:RXH786500 SHD786494:SHD786500 SQZ786494:SQZ786500 TAV786494:TAV786500 TKR786494:TKR786500 TUN786494:TUN786500 UEJ786494:UEJ786500 UOF786494:UOF786500 UYB786494:UYB786500 VHX786494:VHX786500 VRT786494:VRT786500 WBP786494:WBP786500 WLL786494:WLL786500 WVH786494:WVH786500 D917566:F917572 IV852030:IV852036 SR852030:SR852036 ACN852030:ACN852036 AMJ852030:AMJ852036 AWF852030:AWF852036 BGB852030:BGB852036 BPX852030:BPX852036 BZT852030:BZT852036 CJP852030:CJP852036 CTL852030:CTL852036 DDH852030:DDH852036 DND852030:DND852036 DWZ852030:DWZ852036 EGV852030:EGV852036 EQR852030:EQR852036 FAN852030:FAN852036 FKJ852030:FKJ852036 FUF852030:FUF852036 GEB852030:GEB852036 GNX852030:GNX852036 GXT852030:GXT852036 HHP852030:HHP852036 HRL852030:HRL852036 IBH852030:IBH852036 ILD852030:ILD852036 IUZ852030:IUZ852036 JEV852030:JEV852036 JOR852030:JOR852036 JYN852030:JYN852036 KIJ852030:KIJ852036 KSF852030:KSF852036 LCB852030:LCB852036 LLX852030:LLX852036 LVT852030:LVT852036 MFP852030:MFP852036 MPL852030:MPL852036 MZH852030:MZH852036 NJD852030:NJD852036 NSZ852030:NSZ852036 OCV852030:OCV852036 OMR852030:OMR852036 OWN852030:OWN852036 PGJ852030:PGJ852036 PQF852030:PQF852036 QAB852030:QAB852036 QJX852030:QJX852036 QTT852030:QTT852036 RDP852030:RDP852036 RNL852030:RNL852036 RXH852030:RXH852036 SHD852030:SHD852036 SQZ852030:SQZ852036 TAV852030:TAV852036 TKR852030:TKR852036 TUN852030:TUN852036 UEJ852030:UEJ852036 UOF852030:UOF852036 UYB852030:UYB852036 VHX852030:VHX852036 VRT852030:VRT852036 WBP852030:WBP852036 WLL852030:WLL852036 WVH852030:WVH852036 D983102:F983108 IV917566:IV917572 SR917566:SR917572 ACN917566:ACN917572 AMJ917566:AMJ917572 AWF917566:AWF917572 BGB917566:BGB917572 BPX917566:BPX917572 BZT917566:BZT917572 CJP917566:CJP917572 CTL917566:CTL917572 DDH917566:DDH917572 DND917566:DND917572 DWZ917566:DWZ917572 EGV917566:EGV917572 EQR917566:EQR917572 FAN917566:FAN917572 FKJ917566:FKJ917572 FUF917566:FUF917572 GEB917566:GEB917572 GNX917566:GNX917572 GXT917566:GXT917572 HHP917566:HHP917572 HRL917566:HRL917572 IBH917566:IBH917572 ILD917566:ILD917572 IUZ917566:IUZ917572 JEV917566:JEV917572 JOR917566:JOR917572 JYN917566:JYN917572 KIJ917566:KIJ917572 KSF917566:KSF917572 LCB917566:LCB917572 LLX917566:LLX917572 LVT917566:LVT917572 MFP917566:MFP917572 MPL917566:MPL917572 MZH917566:MZH917572 NJD917566:NJD917572 NSZ917566:NSZ917572 OCV917566:OCV917572 OMR917566:OMR917572 OWN917566:OWN917572 PGJ917566:PGJ917572 PQF917566:PQF917572 QAB917566:QAB917572 QJX917566:QJX917572 QTT917566:QTT917572 RDP917566:RDP917572 RNL917566:RNL917572 RXH917566:RXH917572 SHD917566:SHD917572 SQZ917566:SQZ917572 TAV917566:TAV917572 TKR917566:TKR917572 TUN917566:TUN917572 UEJ917566:UEJ917572 UOF917566:UOF917572 UYB917566:UYB917572 VHX917566:VHX917572 VRT917566:VRT917572 WBP917566:WBP917572 WLL917566:WLL917572 WVH917566:WVH917572 WVH983102:WVH983108 IV983102:IV983108 SR983102:SR983108 ACN983102:ACN983108 AMJ983102:AMJ983108 AWF983102:AWF983108 BGB983102:BGB983108 BPX983102:BPX983108 BZT983102:BZT983108 CJP983102:CJP983108 CTL983102:CTL983108 DDH983102:DDH983108 DND983102:DND983108 DWZ983102:DWZ983108 EGV983102:EGV983108 EQR983102:EQR983108 FAN983102:FAN983108 FKJ983102:FKJ983108 FUF983102:FUF983108 GEB983102:GEB983108 GNX983102:GNX983108 GXT983102:GXT983108 HHP983102:HHP983108 HRL983102:HRL983108 IBH983102:IBH983108 ILD983102:ILD983108 IUZ983102:IUZ983108 JEV983102:JEV983108 JOR983102:JOR983108 JYN983102:JYN983108 KIJ983102:KIJ983108 KSF983102:KSF983108 LCB983102:LCB983108 LLX983102:LLX983108 LVT983102:LVT983108 MFP983102:MFP983108 MPL983102:MPL983108 MZH983102:MZH983108 NJD983102:NJD983108 NSZ983102:NSZ983108 OCV983102:OCV983108 OMR983102:OMR983108 OWN983102:OWN983108 PGJ983102:PGJ983108 PQF983102:PQF983108 QAB983102:QAB983108 QJX983102:QJX983108 QTT983102:QTT983108 RDP983102:RDP983108 RNL983102:RNL983108 RXH983102:RXH983108 SHD983102:SHD983108 SQZ983102:SQZ983108 TAV983102:TAV983108 TKR983102:TKR983108 TUN983102:TUN983108 UEJ983102:UEJ983108 UOF983102:UOF983108 UYB983102:UYB983108 VHX983102:VHX983108 VRT983102:VRT983108 WBP983102:WBP983108 WLL983102:WLL983108 D7:E7 D77:E77 D102:E102 D109:E109 D126:E126">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W65600:IW65604 SS65600:SS65604 ACO65600:ACO65604 AMK65600:AMK65604 AWG65600:AWG65604 BGC65600:BGC65604 BPY65600:BPY65604 BZU65600:BZU65604 CJQ65600:CJQ65604 CTM65600:CTM65604 DDI65600:DDI65604 DNE65600:DNE65604 DXA65600:DXA65604 EGW65600:EGW65604 EQS65600:EQS65604 FAO65600:FAO65604 FKK65600:FKK65604 FUG65600:FUG65604 GEC65600:GEC65604 GNY65600:GNY65604 GXU65600:GXU65604 HHQ65600:HHQ65604 HRM65600:HRM65604 IBI65600:IBI65604 ILE65600:ILE65604 IVA65600:IVA65604 JEW65600:JEW65604 JOS65600:JOS65604 JYO65600:JYO65604 KIK65600:KIK65604 KSG65600:KSG65604 LCC65600:LCC65604 LLY65600:LLY65604 LVU65600:LVU65604 MFQ65600:MFQ65604 MPM65600:MPM65604 MZI65600:MZI65604 NJE65600:NJE65604 NTA65600:NTA65604 OCW65600:OCW65604 OMS65600:OMS65604 OWO65600:OWO65604 PGK65600:PGK65604 PQG65600:PQG65604 QAC65600:QAC65604 QJY65600:QJY65604 QTU65600:QTU65604 RDQ65600:RDQ65604 RNM65600:RNM65604 RXI65600:RXI65604 SHE65600:SHE65604 SRA65600:SRA65604 TAW65600:TAW65604 TKS65600:TKS65604 TUO65600:TUO65604 UEK65600:UEK65604 UOG65600:UOG65604 UYC65600:UYC65604 VHY65600:VHY65604 VRU65600:VRU65604 WBQ65600:WBQ65604 WLM65600:WLM65604 WVI65600:WVI65604 IW131136:IW131140 SS131136:SS131140 ACO131136:ACO131140 AMK131136:AMK131140 AWG131136:AWG131140 BGC131136:BGC131140 BPY131136:BPY131140 BZU131136:BZU131140 CJQ131136:CJQ131140 CTM131136:CTM131140 DDI131136:DDI131140 DNE131136:DNE131140 DXA131136:DXA131140 EGW131136:EGW131140 EQS131136:EQS131140 FAO131136:FAO131140 FKK131136:FKK131140 FUG131136:FUG131140 GEC131136:GEC131140 GNY131136:GNY131140 GXU131136:GXU131140 HHQ131136:HHQ131140 HRM131136:HRM131140 IBI131136:IBI131140 ILE131136:ILE131140 IVA131136:IVA131140 JEW131136:JEW131140 JOS131136:JOS131140 JYO131136:JYO131140 KIK131136:KIK131140 KSG131136:KSG131140 LCC131136:LCC131140 LLY131136:LLY131140 LVU131136:LVU131140 MFQ131136:MFQ131140 MPM131136:MPM131140 MZI131136:MZI131140 NJE131136:NJE131140 NTA131136:NTA131140 OCW131136:OCW131140 OMS131136:OMS131140 OWO131136:OWO131140 PGK131136:PGK131140 PQG131136:PQG131140 QAC131136:QAC131140 QJY131136:QJY131140 QTU131136:QTU131140 RDQ131136:RDQ131140 RNM131136:RNM131140 RXI131136:RXI131140 SHE131136:SHE131140 SRA131136:SRA131140 TAW131136:TAW131140 TKS131136:TKS131140 TUO131136:TUO131140 UEK131136:UEK131140 UOG131136:UOG131140 UYC131136:UYC131140 VHY131136:VHY131140 VRU131136:VRU131140 WBQ131136:WBQ131140 WLM131136:WLM131140 WVI131136:WVI131140 IW196672:IW196676 SS196672:SS196676 ACO196672:ACO196676 AMK196672:AMK196676 AWG196672:AWG196676 BGC196672:BGC196676 BPY196672:BPY196676 BZU196672:BZU196676 CJQ196672:CJQ196676 CTM196672:CTM196676 DDI196672:DDI196676 DNE196672:DNE196676 DXA196672:DXA196676 EGW196672:EGW196676 EQS196672:EQS196676 FAO196672:FAO196676 FKK196672:FKK196676 FUG196672:FUG196676 GEC196672:GEC196676 GNY196672:GNY196676 GXU196672:GXU196676 HHQ196672:HHQ196676 HRM196672:HRM196676 IBI196672:IBI196676 ILE196672:ILE196676 IVA196672:IVA196676 JEW196672:JEW196676 JOS196672:JOS196676 JYO196672:JYO196676 KIK196672:KIK196676 KSG196672:KSG196676 LCC196672:LCC196676 LLY196672:LLY196676 LVU196672:LVU196676 MFQ196672:MFQ196676 MPM196672:MPM196676 MZI196672:MZI196676 NJE196672:NJE196676 NTA196672:NTA196676 OCW196672:OCW196676 OMS196672:OMS196676 OWO196672:OWO196676 PGK196672:PGK196676 PQG196672:PQG196676 QAC196672:QAC196676 QJY196672:QJY196676 QTU196672:QTU196676 RDQ196672:RDQ196676 RNM196672:RNM196676 RXI196672:RXI196676 SHE196672:SHE196676 SRA196672:SRA196676 TAW196672:TAW196676 TKS196672:TKS196676 TUO196672:TUO196676 UEK196672:UEK196676 UOG196672:UOG196676 UYC196672:UYC196676 VHY196672:VHY196676 VRU196672:VRU196676 WBQ196672:WBQ196676 WLM196672:WLM196676 WVI196672:WVI196676 IW262208:IW262212 SS262208:SS262212 ACO262208:ACO262212 AMK262208:AMK262212 AWG262208:AWG262212 BGC262208:BGC262212 BPY262208:BPY262212 BZU262208:BZU262212 CJQ262208:CJQ262212 CTM262208:CTM262212 DDI262208:DDI262212 DNE262208:DNE262212 DXA262208:DXA262212 EGW262208:EGW262212 EQS262208:EQS262212 FAO262208:FAO262212 FKK262208:FKK262212 FUG262208:FUG262212 GEC262208:GEC262212 GNY262208:GNY262212 GXU262208:GXU262212 HHQ262208:HHQ262212 HRM262208:HRM262212 IBI262208:IBI262212 ILE262208:ILE262212 IVA262208:IVA262212 JEW262208:JEW262212 JOS262208:JOS262212 JYO262208:JYO262212 KIK262208:KIK262212 KSG262208:KSG262212 LCC262208:LCC262212 LLY262208:LLY262212 LVU262208:LVU262212 MFQ262208:MFQ262212 MPM262208:MPM262212 MZI262208:MZI262212 NJE262208:NJE262212 NTA262208:NTA262212 OCW262208:OCW262212 OMS262208:OMS262212 OWO262208:OWO262212 PGK262208:PGK262212 PQG262208:PQG262212 QAC262208:QAC262212 QJY262208:QJY262212 QTU262208:QTU262212 RDQ262208:RDQ262212 RNM262208:RNM262212 RXI262208:RXI262212 SHE262208:SHE262212 SRA262208:SRA262212 TAW262208:TAW262212 TKS262208:TKS262212 TUO262208:TUO262212 UEK262208:UEK262212 UOG262208:UOG262212 UYC262208:UYC262212 VHY262208:VHY262212 VRU262208:VRU262212 WBQ262208:WBQ262212 WLM262208:WLM262212 WVI262208:WVI262212 IW327744:IW327748 SS327744:SS327748 ACO327744:ACO327748 AMK327744:AMK327748 AWG327744:AWG327748 BGC327744:BGC327748 BPY327744:BPY327748 BZU327744:BZU327748 CJQ327744:CJQ327748 CTM327744:CTM327748 DDI327744:DDI327748 DNE327744:DNE327748 DXA327744:DXA327748 EGW327744:EGW327748 EQS327744:EQS327748 FAO327744:FAO327748 FKK327744:FKK327748 FUG327744:FUG327748 GEC327744:GEC327748 GNY327744:GNY327748 GXU327744:GXU327748 HHQ327744:HHQ327748 HRM327744:HRM327748 IBI327744:IBI327748 ILE327744:ILE327748 IVA327744:IVA327748 JEW327744:JEW327748 JOS327744:JOS327748 JYO327744:JYO327748 KIK327744:KIK327748 KSG327744:KSG327748 LCC327744:LCC327748 LLY327744:LLY327748 LVU327744:LVU327748 MFQ327744:MFQ327748 MPM327744:MPM327748 MZI327744:MZI327748 NJE327744:NJE327748 NTA327744:NTA327748 OCW327744:OCW327748 OMS327744:OMS327748 OWO327744:OWO327748 PGK327744:PGK327748 PQG327744:PQG327748 QAC327744:QAC327748 QJY327744:QJY327748 QTU327744:QTU327748 RDQ327744:RDQ327748 RNM327744:RNM327748 RXI327744:RXI327748 SHE327744:SHE327748 SRA327744:SRA327748 TAW327744:TAW327748 TKS327744:TKS327748 TUO327744:TUO327748 UEK327744:UEK327748 UOG327744:UOG327748 UYC327744:UYC327748 VHY327744:VHY327748 VRU327744:VRU327748 WBQ327744:WBQ327748 WLM327744:WLM327748 WVI327744:WVI327748 IW393280:IW393284 SS393280:SS393284 ACO393280:ACO393284 AMK393280:AMK393284 AWG393280:AWG393284 BGC393280:BGC393284 BPY393280:BPY393284 BZU393280:BZU393284 CJQ393280:CJQ393284 CTM393280:CTM393284 DDI393280:DDI393284 DNE393280:DNE393284 DXA393280:DXA393284 EGW393280:EGW393284 EQS393280:EQS393284 FAO393280:FAO393284 FKK393280:FKK393284 FUG393280:FUG393284 GEC393280:GEC393284 GNY393280:GNY393284 GXU393280:GXU393284 HHQ393280:HHQ393284 HRM393280:HRM393284 IBI393280:IBI393284 ILE393280:ILE393284 IVA393280:IVA393284 JEW393280:JEW393284 JOS393280:JOS393284 JYO393280:JYO393284 KIK393280:KIK393284 KSG393280:KSG393284 LCC393280:LCC393284 LLY393280:LLY393284 LVU393280:LVU393284 MFQ393280:MFQ393284 MPM393280:MPM393284 MZI393280:MZI393284 NJE393280:NJE393284 NTA393280:NTA393284 OCW393280:OCW393284 OMS393280:OMS393284 OWO393280:OWO393284 PGK393280:PGK393284 PQG393280:PQG393284 QAC393280:QAC393284 QJY393280:QJY393284 QTU393280:QTU393284 RDQ393280:RDQ393284 RNM393280:RNM393284 RXI393280:RXI393284 SHE393280:SHE393284 SRA393280:SRA393284 TAW393280:TAW393284 TKS393280:TKS393284 TUO393280:TUO393284 UEK393280:UEK393284 UOG393280:UOG393284 UYC393280:UYC393284 VHY393280:VHY393284 VRU393280:VRU393284 WBQ393280:WBQ393284 WLM393280:WLM393284 WVI393280:WVI393284 IW458816:IW458820 SS458816:SS458820 ACO458816:ACO458820 AMK458816:AMK458820 AWG458816:AWG458820 BGC458816:BGC458820 BPY458816:BPY458820 BZU458816:BZU458820 CJQ458816:CJQ458820 CTM458816:CTM458820 DDI458816:DDI458820 DNE458816:DNE458820 DXA458816:DXA458820 EGW458816:EGW458820 EQS458816:EQS458820 FAO458816:FAO458820 FKK458816:FKK458820 FUG458816:FUG458820 GEC458816:GEC458820 GNY458816:GNY458820 GXU458816:GXU458820 HHQ458816:HHQ458820 HRM458816:HRM458820 IBI458816:IBI458820 ILE458816:ILE458820 IVA458816:IVA458820 JEW458816:JEW458820 JOS458816:JOS458820 JYO458816:JYO458820 KIK458816:KIK458820 KSG458816:KSG458820 LCC458816:LCC458820 LLY458816:LLY458820 LVU458816:LVU458820 MFQ458816:MFQ458820 MPM458816:MPM458820 MZI458816:MZI458820 NJE458816:NJE458820 NTA458816:NTA458820 OCW458816:OCW458820 OMS458816:OMS458820 OWO458816:OWO458820 PGK458816:PGK458820 PQG458816:PQG458820 QAC458816:QAC458820 QJY458816:QJY458820 QTU458816:QTU458820 RDQ458816:RDQ458820 RNM458816:RNM458820 RXI458816:RXI458820 SHE458816:SHE458820 SRA458816:SRA458820 TAW458816:TAW458820 TKS458816:TKS458820 TUO458816:TUO458820 UEK458816:UEK458820 UOG458816:UOG458820 UYC458816:UYC458820 VHY458816:VHY458820 VRU458816:VRU458820 WBQ458816:WBQ458820 WLM458816:WLM458820 WVI458816:WVI458820 IW524352:IW524356 SS524352:SS524356 ACO524352:ACO524356 AMK524352:AMK524356 AWG524352:AWG524356 BGC524352:BGC524356 BPY524352:BPY524356 BZU524352:BZU524356 CJQ524352:CJQ524356 CTM524352:CTM524356 DDI524352:DDI524356 DNE524352:DNE524356 DXA524352:DXA524356 EGW524352:EGW524356 EQS524352:EQS524356 FAO524352:FAO524356 FKK524352:FKK524356 FUG524352:FUG524356 GEC524352:GEC524356 GNY524352:GNY524356 GXU524352:GXU524356 HHQ524352:HHQ524356 HRM524352:HRM524356 IBI524352:IBI524356 ILE524352:ILE524356 IVA524352:IVA524356 JEW524352:JEW524356 JOS524352:JOS524356 JYO524352:JYO524356 KIK524352:KIK524356 KSG524352:KSG524356 LCC524352:LCC524356 LLY524352:LLY524356 LVU524352:LVU524356 MFQ524352:MFQ524356 MPM524352:MPM524356 MZI524352:MZI524356 NJE524352:NJE524356 NTA524352:NTA524356 OCW524352:OCW524356 OMS524352:OMS524356 OWO524352:OWO524356 PGK524352:PGK524356 PQG524352:PQG524356 QAC524352:QAC524356 QJY524352:QJY524356 QTU524352:QTU524356 RDQ524352:RDQ524356 RNM524352:RNM524356 RXI524352:RXI524356 SHE524352:SHE524356 SRA524352:SRA524356 TAW524352:TAW524356 TKS524352:TKS524356 TUO524352:TUO524356 UEK524352:UEK524356 UOG524352:UOG524356 UYC524352:UYC524356 VHY524352:VHY524356 VRU524352:VRU524356 WBQ524352:WBQ524356 WLM524352:WLM524356 WVI524352:WVI524356 IW589888:IW589892 SS589888:SS589892 ACO589888:ACO589892 AMK589888:AMK589892 AWG589888:AWG589892 BGC589888:BGC589892 BPY589888:BPY589892 BZU589888:BZU589892 CJQ589888:CJQ589892 CTM589888:CTM589892 DDI589888:DDI589892 DNE589888:DNE589892 DXA589888:DXA589892 EGW589888:EGW589892 EQS589888:EQS589892 FAO589888:FAO589892 FKK589888:FKK589892 FUG589888:FUG589892 GEC589888:GEC589892 GNY589888:GNY589892 GXU589888:GXU589892 HHQ589888:HHQ589892 HRM589888:HRM589892 IBI589888:IBI589892 ILE589888:ILE589892 IVA589888:IVA589892 JEW589888:JEW589892 JOS589888:JOS589892 JYO589888:JYO589892 KIK589888:KIK589892 KSG589888:KSG589892 LCC589888:LCC589892 LLY589888:LLY589892 LVU589888:LVU589892 MFQ589888:MFQ589892 MPM589888:MPM589892 MZI589888:MZI589892 NJE589888:NJE589892 NTA589888:NTA589892 OCW589888:OCW589892 OMS589888:OMS589892 OWO589888:OWO589892 PGK589888:PGK589892 PQG589888:PQG589892 QAC589888:QAC589892 QJY589888:QJY589892 QTU589888:QTU589892 RDQ589888:RDQ589892 RNM589888:RNM589892 RXI589888:RXI589892 SHE589888:SHE589892 SRA589888:SRA589892 TAW589888:TAW589892 TKS589888:TKS589892 TUO589888:TUO589892 UEK589888:UEK589892 UOG589888:UOG589892 UYC589888:UYC589892 VHY589888:VHY589892 VRU589888:VRU589892 WBQ589888:WBQ589892 WLM589888:WLM589892 WVI589888:WVI589892 IW655424:IW655428 SS655424:SS655428 ACO655424:ACO655428 AMK655424:AMK655428 AWG655424:AWG655428 BGC655424:BGC655428 BPY655424:BPY655428 BZU655424:BZU655428 CJQ655424:CJQ655428 CTM655424:CTM655428 DDI655424:DDI655428 DNE655424:DNE655428 DXA655424:DXA655428 EGW655424:EGW655428 EQS655424:EQS655428 FAO655424:FAO655428 FKK655424:FKK655428 FUG655424:FUG655428 GEC655424:GEC655428 GNY655424:GNY655428 GXU655424:GXU655428 HHQ655424:HHQ655428 HRM655424:HRM655428 IBI655424:IBI655428 ILE655424:ILE655428 IVA655424:IVA655428 JEW655424:JEW655428 JOS655424:JOS655428 JYO655424:JYO655428 KIK655424:KIK655428 KSG655424:KSG655428 LCC655424:LCC655428 LLY655424:LLY655428 LVU655424:LVU655428 MFQ655424:MFQ655428 MPM655424:MPM655428 MZI655424:MZI655428 NJE655424:NJE655428 NTA655424:NTA655428 OCW655424:OCW655428 OMS655424:OMS655428 OWO655424:OWO655428 PGK655424:PGK655428 PQG655424:PQG655428 QAC655424:QAC655428 QJY655424:QJY655428 QTU655424:QTU655428 RDQ655424:RDQ655428 RNM655424:RNM655428 RXI655424:RXI655428 SHE655424:SHE655428 SRA655424:SRA655428 TAW655424:TAW655428 TKS655424:TKS655428 TUO655424:TUO655428 UEK655424:UEK655428 UOG655424:UOG655428 UYC655424:UYC655428 VHY655424:VHY655428 VRU655424:VRU655428 WBQ655424:WBQ655428 WLM655424:WLM655428 WVI655424:WVI655428 IW720960:IW720964 SS720960:SS720964 ACO720960:ACO720964 AMK720960:AMK720964 AWG720960:AWG720964 BGC720960:BGC720964 BPY720960:BPY720964 BZU720960:BZU720964 CJQ720960:CJQ720964 CTM720960:CTM720964 DDI720960:DDI720964 DNE720960:DNE720964 DXA720960:DXA720964 EGW720960:EGW720964 EQS720960:EQS720964 FAO720960:FAO720964 FKK720960:FKK720964 FUG720960:FUG720964 GEC720960:GEC720964 GNY720960:GNY720964 GXU720960:GXU720964 HHQ720960:HHQ720964 HRM720960:HRM720964 IBI720960:IBI720964 ILE720960:ILE720964 IVA720960:IVA720964 JEW720960:JEW720964 JOS720960:JOS720964 JYO720960:JYO720964 KIK720960:KIK720964 KSG720960:KSG720964 LCC720960:LCC720964 LLY720960:LLY720964 LVU720960:LVU720964 MFQ720960:MFQ720964 MPM720960:MPM720964 MZI720960:MZI720964 NJE720960:NJE720964 NTA720960:NTA720964 OCW720960:OCW720964 OMS720960:OMS720964 OWO720960:OWO720964 PGK720960:PGK720964 PQG720960:PQG720964 QAC720960:QAC720964 QJY720960:QJY720964 QTU720960:QTU720964 RDQ720960:RDQ720964 RNM720960:RNM720964 RXI720960:RXI720964 SHE720960:SHE720964 SRA720960:SRA720964 TAW720960:TAW720964 TKS720960:TKS720964 TUO720960:TUO720964 UEK720960:UEK720964 UOG720960:UOG720964 UYC720960:UYC720964 VHY720960:VHY720964 VRU720960:VRU720964 WBQ720960:WBQ720964 WLM720960:WLM720964 WVI720960:WVI720964 IW786496:IW786500 SS786496:SS786500 ACO786496:ACO786500 AMK786496:AMK786500 AWG786496:AWG786500 BGC786496:BGC786500 BPY786496:BPY786500 BZU786496:BZU786500 CJQ786496:CJQ786500 CTM786496:CTM786500 DDI786496:DDI786500 DNE786496:DNE786500 DXA786496:DXA786500 EGW786496:EGW786500 EQS786496:EQS786500 FAO786496:FAO786500 FKK786496:FKK786500 FUG786496:FUG786500 GEC786496:GEC786500 GNY786496:GNY786500 GXU786496:GXU786500 HHQ786496:HHQ786500 HRM786496:HRM786500 IBI786496:IBI786500 ILE786496:ILE786500 IVA786496:IVA786500 JEW786496:JEW786500 JOS786496:JOS786500 JYO786496:JYO786500 KIK786496:KIK786500 KSG786496:KSG786500 LCC786496:LCC786500 LLY786496:LLY786500 LVU786496:LVU786500 MFQ786496:MFQ786500 MPM786496:MPM786500 MZI786496:MZI786500 NJE786496:NJE786500 NTA786496:NTA786500 OCW786496:OCW786500 OMS786496:OMS786500 OWO786496:OWO786500 PGK786496:PGK786500 PQG786496:PQG786500 QAC786496:QAC786500 QJY786496:QJY786500 QTU786496:QTU786500 RDQ786496:RDQ786500 RNM786496:RNM786500 RXI786496:RXI786500 SHE786496:SHE786500 SRA786496:SRA786500 TAW786496:TAW786500 TKS786496:TKS786500 TUO786496:TUO786500 UEK786496:UEK786500 UOG786496:UOG786500 UYC786496:UYC786500 VHY786496:VHY786500 VRU786496:VRU786500 WBQ786496:WBQ786500 WLM786496:WLM786500 WVI786496:WVI786500 IW852032:IW852036 SS852032:SS852036 ACO852032:ACO852036 AMK852032:AMK852036 AWG852032:AWG852036 BGC852032:BGC852036 BPY852032:BPY852036 BZU852032:BZU852036 CJQ852032:CJQ852036 CTM852032:CTM852036 DDI852032:DDI852036 DNE852032:DNE852036 DXA852032:DXA852036 EGW852032:EGW852036 EQS852032:EQS852036 FAO852032:FAO852036 FKK852032:FKK852036 FUG852032:FUG852036 GEC852032:GEC852036 GNY852032:GNY852036 GXU852032:GXU852036 HHQ852032:HHQ852036 HRM852032:HRM852036 IBI852032:IBI852036 ILE852032:ILE852036 IVA852032:IVA852036 JEW852032:JEW852036 JOS852032:JOS852036 JYO852032:JYO852036 KIK852032:KIK852036 KSG852032:KSG852036 LCC852032:LCC852036 LLY852032:LLY852036 LVU852032:LVU852036 MFQ852032:MFQ852036 MPM852032:MPM852036 MZI852032:MZI852036 NJE852032:NJE852036 NTA852032:NTA852036 OCW852032:OCW852036 OMS852032:OMS852036 OWO852032:OWO852036 PGK852032:PGK852036 PQG852032:PQG852036 QAC852032:QAC852036 QJY852032:QJY852036 QTU852032:QTU852036 RDQ852032:RDQ852036 RNM852032:RNM852036 RXI852032:RXI852036 SHE852032:SHE852036 SRA852032:SRA852036 TAW852032:TAW852036 TKS852032:TKS852036 TUO852032:TUO852036 UEK852032:UEK852036 UOG852032:UOG852036 UYC852032:UYC852036 VHY852032:VHY852036 VRU852032:VRU852036 WBQ852032:WBQ852036 WLM852032:WLM852036 WVI852032:WVI852036 IW917568:IW917572 SS917568:SS917572 ACO917568:ACO917572 AMK917568:AMK917572 AWG917568:AWG917572 BGC917568:BGC917572 BPY917568:BPY917572 BZU917568:BZU917572 CJQ917568:CJQ917572 CTM917568:CTM917572 DDI917568:DDI917572 DNE917568:DNE917572 DXA917568:DXA917572 EGW917568:EGW917572 EQS917568:EQS917572 FAO917568:FAO917572 FKK917568:FKK917572 FUG917568:FUG917572 GEC917568:GEC917572 GNY917568:GNY917572 GXU917568:GXU917572 HHQ917568:HHQ917572 HRM917568:HRM917572 IBI917568:IBI917572 ILE917568:ILE917572 IVA917568:IVA917572 JEW917568:JEW917572 JOS917568:JOS917572 JYO917568:JYO917572 KIK917568:KIK917572 KSG917568:KSG917572 LCC917568:LCC917572 LLY917568:LLY917572 LVU917568:LVU917572 MFQ917568:MFQ917572 MPM917568:MPM917572 MZI917568:MZI917572 NJE917568:NJE917572 NTA917568:NTA917572 OCW917568:OCW917572 OMS917568:OMS917572 OWO917568:OWO917572 PGK917568:PGK917572 PQG917568:PQG917572 QAC917568:QAC917572 QJY917568:QJY917572 QTU917568:QTU917572 RDQ917568:RDQ917572 RNM917568:RNM917572 RXI917568:RXI917572 SHE917568:SHE917572 SRA917568:SRA917572 TAW917568:TAW917572 TKS917568:TKS917572 TUO917568:TUO917572 UEK917568:UEK917572 UOG917568:UOG917572 UYC917568:UYC917572 VHY917568:VHY917572 VRU917568:VRU917572 WBQ917568:WBQ917572 WLM917568:WLM917572 WVI917568:WVI917572 IW983104:IW983108 SS983104:SS983108 ACO983104:ACO983108 AMK983104:AMK983108 AWG983104:AWG983108 BGC983104:BGC983108 BPY983104:BPY983108 BZU983104:BZU983108 CJQ983104:CJQ983108 CTM983104:CTM983108 DDI983104:DDI983108 DNE983104:DNE983108 DXA983104:DXA983108 EGW983104:EGW983108 EQS983104:EQS983108 FAO983104:FAO983108 FKK983104:FKK983108 FUG983104:FUG983108 GEC983104:GEC983108 GNY983104:GNY983108 GXU983104:GXU983108 HHQ983104:HHQ983108 HRM983104:HRM983108 IBI983104:IBI983108 ILE983104:ILE983108 IVA983104:IVA983108 JEW983104:JEW983108 JOS983104:JOS983108 JYO983104:JYO983108 KIK983104:KIK983108 KSG983104:KSG983108 LCC983104:LCC983108 LLY983104:LLY983108 LVU983104:LVU983108 MFQ983104:MFQ983108 MPM983104:MPM983108 MZI983104:MZI983108 NJE983104:NJE983108 NTA983104:NTA983108 OCW983104:OCW983108 OMS983104:OMS983108 OWO983104:OWO983108 PGK983104:PGK983108 PQG983104:PQG983108 QAC983104:QAC983108 QJY983104:QJY983108 QTU983104:QTU983108 RDQ983104:RDQ983108 RNM983104:RNM983108 RXI983104:RXI983108 SHE983104:SHE983108 SRA983104:SRA983108 TAW983104:TAW983108 TKS983104:TKS983108 TUO983104:TUO983108 UEK983104:UEK983108 UOG983104:UOG983108 UYC983104:UYC983108 VHY983104:VHY983108 VRU983104:VRU983108 WBQ983104:WBQ983108 WLM983104:WLM983108 WVI983104:WVI983108 G983104:I983108 G917568:I917572 G852032:I852036 G786496:I786500 G720960:I720964 G655424:I655428 G589888:I589892 G524352:I524356 G458816:I458820 G393280:I393284 G327744:I327748 G262208:I262212 G196672:I196676 G131136:I131140 G65600:I65604"/>
    <dataValidation allowBlank="1" showErrorMessage="1" sqref="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G983103:I983103 G917567:I917567 G852031:I852031 G786495:I786495 G720959:I720959 G655423:I655423 G589887:I589887 G524351:I524351 G458815:I458815 G393279:I393279 G327743:I327743 G262207:I262207 G196671:I196671 G131135:I131135 G65599:I65599"/>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487"/>
  <sheetViews>
    <sheetView zoomScale="80" zoomScaleNormal="80" workbookViewId="0">
      <pane xSplit="4" ySplit="8" topLeftCell="H400" activePane="bottomRight" state="frozen"/>
      <selection activeCell="B1" sqref="B1"/>
      <selection pane="topRight" activeCell="E1" sqref="E1"/>
      <selection pane="bottomLeft" activeCell="B10" sqref="B10"/>
      <selection pane="bottomRight" activeCell="D403" sqref="D403"/>
    </sheetView>
  </sheetViews>
  <sheetFormatPr baseColWidth="10" defaultRowHeight="15"/>
  <cols>
    <col min="1" max="1" width="2.28515625" style="43" customWidth="1"/>
    <col min="2" max="2" width="29.42578125" style="331" customWidth="1"/>
    <col min="3" max="3" width="16.7109375" style="332" customWidth="1"/>
    <col min="4" max="4" width="16.85546875" style="332" customWidth="1"/>
    <col min="5" max="5" width="20.28515625" style="43" customWidth="1"/>
    <col min="6" max="6" width="11.85546875" style="66" customWidth="1"/>
    <col min="7" max="7" width="31.85546875" style="43" customWidth="1"/>
    <col min="8" max="8" width="19.42578125" style="333" customWidth="1"/>
    <col min="9" max="9" width="22.28515625" style="66" customWidth="1"/>
    <col min="10" max="10" width="17.42578125" style="66" customWidth="1"/>
    <col min="11" max="11" width="22.5703125" style="43" customWidth="1"/>
    <col min="12" max="12" width="22.5703125" style="332" customWidth="1"/>
    <col min="13" max="13" width="22.5703125" style="43" customWidth="1"/>
    <col min="14" max="14" width="22.5703125" style="332" customWidth="1"/>
    <col min="15" max="15" width="21.140625" style="43" hidden="1" customWidth="1"/>
    <col min="16" max="16" width="24.7109375" style="43" hidden="1" customWidth="1"/>
    <col min="17" max="17" width="21.140625" style="43" customWidth="1"/>
    <col min="18" max="18" width="24.7109375" style="43" customWidth="1"/>
    <col min="19" max="16384" width="11.42578125" style="43"/>
  </cols>
  <sheetData>
    <row r="1" spans="1:18" ht="15.75" thickBot="1"/>
    <row r="2" spans="1:18" ht="75" customHeight="1" thickBot="1">
      <c r="A2" s="60"/>
      <c r="B2" s="1528"/>
      <c r="C2" s="1529"/>
      <c r="D2" s="1545" t="s">
        <v>1312</v>
      </c>
      <c r="E2" s="1546"/>
      <c r="F2" s="1546"/>
      <c r="G2" s="1546"/>
      <c r="H2" s="1546"/>
      <c r="I2" s="1546"/>
      <c r="J2" s="1546"/>
      <c r="K2" s="1546"/>
      <c r="L2" s="1546"/>
      <c r="M2" s="1546"/>
      <c r="N2" s="1546"/>
      <c r="O2" s="1546"/>
      <c r="P2" s="1546"/>
      <c r="Q2" s="1546"/>
      <c r="R2" s="1546"/>
    </row>
    <row r="3" spans="1:18" s="286" customFormat="1" ht="15" customHeight="1">
      <c r="H3" s="823"/>
    </row>
    <row r="4" spans="1:18" s="286" customFormat="1" ht="15" customHeight="1">
      <c r="B4" s="1780" t="s">
        <v>48</v>
      </c>
      <c r="C4" s="1781" t="s">
        <v>566</v>
      </c>
      <c r="D4" s="1782" t="s">
        <v>1526</v>
      </c>
      <c r="E4" s="1775" t="s">
        <v>229</v>
      </c>
      <c r="F4" s="1775" t="s">
        <v>567</v>
      </c>
      <c r="G4" s="1775" t="s">
        <v>131</v>
      </c>
      <c r="H4" s="1775" t="s">
        <v>231</v>
      </c>
      <c r="I4" s="1775" t="s">
        <v>232</v>
      </c>
      <c r="J4" s="1775" t="s">
        <v>233</v>
      </c>
      <c r="K4" s="1778" t="s">
        <v>228</v>
      </c>
      <c r="L4" s="1779"/>
      <c r="M4" s="1779"/>
      <c r="N4" s="1779"/>
      <c r="O4" s="1779"/>
      <c r="P4" s="1779"/>
      <c r="Q4" s="1779"/>
      <c r="R4" s="1779"/>
    </row>
    <row r="5" spans="1:18" s="286" customFormat="1" ht="28.5" customHeight="1">
      <c r="B5" s="1780"/>
      <c r="C5" s="1781"/>
      <c r="D5" s="1782"/>
      <c r="E5" s="1775"/>
      <c r="F5" s="1775"/>
      <c r="G5" s="1775"/>
      <c r="H5" s="1775"/>
      <c r="I5" s="1775"/>
      <c r="J5" s="1775"/>
      <c r="K5" s="1775" t="s">
        <v>234</v>
      </c>
      <c r="L5" s="1775"/>
      <c r="M5" s="1775"/>
      <c r="N5" s="1776"/>
      <c r="O5" s="1553" t="s">
        <v>568</v>
      </c>
      <c r="P5" s="1553"/>
      <c r="Q5" s="1553" t="s">
        <v>1527</v>
      </c>
      <c r="R5" s="1553"/>
    </row>
    <row r="6" spans="1:18" s="286" customFormat="1" ht="29.25" customHeight="1">
      <c r="B6" s="1780"/>
      <c r="C6" s="1781"/>
      <c r="D6" s="1782"/>
      <c r="E6" s="1775"/>
      <c r="F6" s="1775"/>
      <c r="G6" s="1775"/>
      <c r="H6" s="1775"/>
      <c r="I6" s="1775"/>
      <c r="J6" s="1775"/>
      <c r="K6" s="1783" t="s">
        <v>236</v>
      </c>
      <c r="L6" s="1783"/>
      <c r="M6" s="1784" t="s">
        <v>237</v>
      </c>
      <c r="N6" s="1785"/>
      <c r="O6" s="1777" t="s">
        <v>18</v>
      </c>
      <c r="P6" s="1777" t="s">
        <v>71</v>
      </c>
      <c r="Q6" s="1777" t="s">
        <v>18</v>
      </c>
      <c r="R6" s="1777" t="s">
        <v>71</v>
      </c>
    </row>
    <row r="7" spans="1:18" s="286" customFormat="1" ht="15" customHeight="1">
      <c r="B7" s="1780"/>
      <c r="C7" s="1781"/>
      <c r="D7" s="1782"/>
      <c r="E7" s="1775"/>
      <c r="F7" s="1775"/>
      <c r="G7" s="1775"/>
      <c r="H7" s="1775"/>
      <c r="I7" s="1775"/>
      <c r="J7" s="1775"/>
      <c r="K7" s="228" t="s">
        <v>239</v>
      </c>
      <c r="L7" s="229" t="s">
        <v>240</v>
      </c>
      <c r="M7" s="228" t="s">
        <v>239</v>
      </c>
      <c r="N7" s="230" t="s">
        <v>240</v>
      </c>
      <c r="O7" s="1777"/>
      <c r="P7" s="1777"/>
      <c r="Q7" s="1777"/>
      <c r="R7" s="1777"/>
    </row>
    <row r="8" spans="1:18" s="240" customFormat="1" ht="60">
      <c r="A8" s="231">
        <v>113</v>
      </c>
      <c r="B8" s="232" t="s">
        <v>569</v>
      </c>
      <c r="C8" s="233">
        <v>5552000000</v>
      </c>
      <c r="D8" s="233">
        <v>8906003219</v>
      </c>
      <c r="E8" s="234"/>
      <c r="F8" s="235"/>
      <c r="G8" s="236"/>
      <c r="H8" s="237"/>
      <c r="I8" s="235"/>
      <c r="J8" s="235"/>
      <c r="K8" s="236"/>
      <c r="L8" s="238"/>
      <c r="M8" s="236"/>
      <c r="N8" s="239"/>
      <c r="O8" s="239"/>
      <c r="P8" s="239"/>
      <c r="Q8" s="239"/>
      <c r="R8" s="239"/>
    </row>
    <row r="9" spans="1:18" ht="60">
      <c r="A9" s="241">
        <v>113608002</v>
      </c>
      <c r="B9" s="242" t="s">
        <v>570</v>
      </c>
      <c r="C9" s="243"/>
      <c r="D9" s="243">
        <v>397387507</v>
      </c>
      <c r="E9" s="244"/>
      <c r="F9" s="244"/>
      <c r="G9" s="245"/>
      <c r="H9" s="246"/>
      <c r="I9" s="247"/>
      <c r="J9" s="247"/>
      <c r="K9" s="248"/>
      <c r="L9" s="249"/>
      <c r="M9" s="248"/>
      <c r="N9" s="250"/>
      <c r="O9" s="72"/>
      <c r="P9" s="72"/>
      <c r="Q9" s="72"/>
      <c r="R9" s="72"/>
    </row>
    <row r="10" spans="1:18" ht="45">
      <c r="A10" s="241">
        <v>113608002000001</v>
      </c>
      <c r="B10" s="242" t="s">
        <v>571</v>
      </c>
      <c r="C10" s="243"/>
      <c r="D10" s="243">
        <v>208041219</v>
      </c>
      <c r="E10" s="824"/>
      <c r="F10" s="247"/>
      <c r="G10" s="245"/>
      <c r="H10" s="246"/>
      <c r="I10" s="247"/>
      <c r="J10" s="247"/>
      <c r="K10" s="248"/>
      <c r="L10" s="249"/>
      <c r="M10" s="248"/>
      <c r="N10" s="250"/>
      <c r="O10" s="72"/>
      <c r="P10" s="72"/>
      <c r="Q10" s="72"/>
      <c r="R10" s="72"/>
    </row>
    <row r="11" spans="1:18" s="256" customFormat="1" ht="60">
      <c r="A11" s="252"/>
      <c r="B11" s="447" t="s">
        <v>1528</v>
      </c>
      <c r="C11" s="72"/>
      <c r="D11" s="825">
        <v>42102814</v>
      </c>
      <c r="E11" s="72" t="s">
        <v>572</v>
      </c>
      <c r="F11" s="72"/>
      <c r="G11" s="447" t="s">
        <v>1528</v>
      </c>
      <c r="H11" s="825">
        <v>42102814</v>
      </c>
      <c r="I11" s="255">
        <v>42095</v>
      </c>
      <c r="J11" s="826">
        <v>42110</v>
      </c>
      <c r="K11" s="43"/>
      <c r="L11" s="249"/>
      <c r="M11" s="28"/>
      <c r="N11" s="825">
        <v>42102814</v>
      </c>
      <c r="O11" s="248"/>
      <c r="P11" s="248"/>
      <c r="Q11" s="827">
        <v>1</v>
      </c>
      <c r="R11" s="248"/>
    </row>
    <row r="12" spans="1:18" s="256" customFormat="1" ht="60">
      <c r="A12" s="252"/>
      <c r="B12" s="447" t="s">
        <v>1529</v>
      </c>
      <c r="C12" s="72"/>
      <c r="D12" s="825">
        <v>124337591</v>
      </c>
      <c r="E12" s="72" t="s">
        <v>1530</v>
      </c>
      <c r="F12" s="72"/>
      <c r="G12" s="447" t="s">
        <v>1529</v>
      </c>
      <c r="H12" s="825">
        <v>124337591</v>
      </c>
      <c r="I12" s="255">
        <v>42136</v>
      </c>
      <c r="J12" s="826">
        <v>42167</v>
      </c>
      <c r="K12" s="43"/>
      <c r="L12" s="249"/>
      <c r="M12" s="28"/>
      <c r="N12" s="825">
        <v>124337591</v>
      </c>
      <c r="O12" s="248"/>
      <c r="P12" s="248"/>
      <c r="Q12" s="827">
        <v>1</v>
      </c>
      <c r="R12" s="248"/>
    </row>
    <row r="13" spans="1:18" s="256" customFormat="1" ht="90">
      <c r="A13" s="252"/>
      <c r="B13" s="447" t="s">
        <v>1531</v>
      </c>
      <c r="C13" s="72"/>
      <c r="D13" s="825">
        <v>18950958</v>
      </c>
      <c r="E13" s="72" t="s">
        <v>1530</v>
      </c>
      <c r="F13" s="72"/>
      <c r="G13" s="447" t="s">
        <v>1531</v>
      </c>
      <c r="H13" s="825">
        <v>18950958</v>
      </c>
      <c r="I13" s="255"/>
      <c r="J13" s="826">
        <v>42191</v>
      </c>
      <c r="K13" s="43"/>
      <c r="L13" s="249"/>
      <c r="M13" s="28"/>
      <c r="N13" s="825">
        <v>18950958</v>
      </c>
      <c r="O13" s="248"/>
      <c r="P13" s="248"/>
      <c r="Q13" s="827">
        <v>1</v>
      </c>
      <c r="R13" s="248"/>
    </row>
    <row r="14" spans="1:18" s="256" customFormat="1" ht="75">
      <c r="A14" s="252"/>
      <c r="B14" s="447" t="s">
        <v>1532</v>
      </c>
      <c r="C14" s="72"/>
      <c r="D14" s="825">
        <v>21800000</v>
      </c>
      <c r="E14" s="72" t="s">
        <v>1530</v>
      </c>
      <c r="F14" s="72"/>
      <c r="G14" s="447" t="s">
        <v>1532</v>
      </c>
      <c r="H14" s="825">
        <v>21800000</v>
      </c>
      <c r="I14" s="255"/>
      <c r="J14" s="826">
        <v>42250</v>
      </c>
      <c r="K14" s="248"/>
      <c r="L14" s="249"/>
      <c r="M14" s="28"/>
      <c r="N14" s="825">
        <v>21800000</v>
      </c>
      <c r="O14" s="248"/>
      <c r="P14" s="248"/>
      <c r="Q14" s="827">
        <v>1</v>
      </c>
      <c r="R14" s="828"/>
    </row>
    <row r="15" spans="1:18" s="256" customFormat="1" ht="30">
      <c r="A15" s="241">
        <v>113608002000004</v>
      </c>
      <c r="B15" s="257" t="s">
        <v>573</v>
      </c>
      <c r="C15" s="258"/>
      <c r="D15" s="258">
        <v>189346288</v>
      </c>
      <c r="E15" s="824"/>
      <c r="F15" s="247"/>
      <c r="G15" s="259"/>
      <c r="H15" s="827"/>
      <c r="I15" s="247"/>
      <c r="J15" s="247"/>
      <c r="K15" s="248"/>
      <c r="L15" s="249"/>
      <c r="M15" s="248"/>
      <c r="N15" s="250"/>
      <c r="O15" s="248"/>
      <c r="P15" s="248"/>
      <c r="Q15" s="827">
        <v>1</v>
      </c>
      <c r="R15" s="248"/>
    </row>
    <row r="16" spans="1:18" s="269" customFormat="1" ht="105">
      <c r="A16" s="260"/>
      <c r="B16" s="447" t="s">
        <v>1533</v>
      </c>
      <c r="C16" s="72"/>
      <c r="D16" s="825">
        <v>50282079</v>
      </c>
      <c r="E16" s="72" t="s">
        <v>169</v>
      </c>
      <c r="F16" s="72"/>
      <c r="G16" s="447" t="s">
        <v>1533</v>
      </c>
      <c r="H16" s="825">
        <v>50282079</v>
      </c>
      <c r="I16" s="829">
        <v>42083</v>
      </c>
      <c r="J16" s="826">
        <v>42115</v>
      </c>
      <c r="K16" s="266"/>
      <c r="L16" s="249"/>
      <c r="M16" s="266"/>
      <c r="N16" s="825">
        <v>50282079</v>
      </c>
      <c r="O16" s="266"/>
      <c r="P16" s="266"/>
      <c r="Q16" s="827">
        <v>1</v>
      </c>
      <c r="R16" s="266"/>
    </row>
    <row r="17" spans="1:18" s="269" customFormat="1" ht="105">
      <c r="A17" s="260"/>
      <c r="B17" s="447" t="s">
        <v>1534</v>
      </c>
      <c r="C17" s="72"/>
      <c r="D17" s="825">
        <v>20262001</v>
      </c>
      <c r="E17" s="72" t="s">
        <v>170</v>
      </c>
      <c r="F17" s="72"/>
      <c r="G17" s="447" t="s">
        <v>1534</v>
      </c>
      <c r="H17" s="825">
        <v>20262001</v>
      </c>
      <c r="I17" s="829">
        <v>42195</v>
      </c>
      <c r="J17" s="826">
        <v>42219</v>
      </c>
      <c r="K17" s="266"/>
      <c r="L17" s="249"/>
      <c r="M17" s="266"/>
      <c r="N17" s="825">
        <v>20262001</v>
      </c>
      <c r="O17" s="830"/>
      <c r="P17" s="830"/>
      <c r="Q17" s="827">
        <v>1</v>
      </c>
      <c r="R17" s="266"/>
    </row>
    <row r="18" spans="1:18" s="269" customFormat="1" ht="120">
      <c r="A18" s="260"/>
      <c r="B18" s="447" t="s">
        <v>1535</v>
      </c>
      <c r="C18" s="72"/>
      <c r="D18" s="825">
        <v>20292725</v>
      </c>
      <c r="E18" s="72" t="s">
        <v>169</v>
      </c>
      <c r="F18" s="72"/>
      <c r="G18" s="447" t="s">
        <v>1535</v>
      </c>
      <c r="H18" s="825">
        <v>20292725</v>
      </c>
      <c r="I18" s="829"/>
      <c r="J18" s="826">
        <v>42219</v>
      </c>
      <c r="K18" s="266"/>
      <c r="L18" s="249"/>
      <c r="M18" s="266"/>
      <c r="N18" s="825">
        <v>20292725</v>
      </c>
      <c r="O18" s="830"/>
      <c r="P18" s="830"/>
      <c r="Q18" s="827">
        <v>1</v>
      </c>
      <c r="R18" s="266"/>
    </row>
    <row r="19" spans="1:18" s="269" customFormat="1" ht="150">
      <c r="A19" s="260"/>
      <c r="B19" s="447" t="s">
        <v>1536</v>
      </c>
      <c r="C19" s="261"/>
      <c r="D19" s="825">
        <v>9000000</v>
      </c>
      <c r="E19" s="262" t="s">
        <v>170</v>
      </c>
      <c r="F19" s="263"/>
      <c r="G19" s="447" t="s">
        <v>1536</v>
      </c>
      <c r="H19" s="825">
        <v>9000000</v>
      </c>
      <c r="I19" s="263"/>
      <c r="J19" s="826">
        <v>42261</v>
      </c>
      <c r="K19" s="266"/>
      <c r="L19" s="249"/>
      <c r="M19" s="266"/>
      <c r="N19" s="825">
        <v>9000000</v>
      </c>
      <c r="O19" s="830"/>
      <c r="P19" s="830"/>
      <c r="Q19" s="827">
        <v>1</v>
      </c>
      <c r="R19" s="266"/>
    </row>
    <row r="20" spans="1:18" s="269" customFormat="1" ht="75">
      <c r="A20" s="260"/>
      <c r="B20" s="831" t="s">
        <v>1537</v>
      </c>
      <c r="C20" s="832"/>
      <c r="D20" s="833">
        <v>87126725</v>
      </c>
      <c r="E20" s="832" t="s">
        <v>170</v>
      </c>
      <c r="F20" s="832"/>
      <c r="G20" s="831" t="s">
        <v>1537</v>
      </c>
      <c r="H20" s="833">
        <v>87126725</v>
      </c>
      <c r="I20" s="834">
        <v>42287</v>
      </c>
      <c r="J20" s="835">
        <v>42327</v>
      </c>
      <c r="K20" s="832"/>
      <c r="L20" s="267"/>
      <c r="M20" s="834"/>
      <c r="N20" s="833">
        <v>87126725</v>
      </c>
      <c r="O20" s="836"/>
      <c r="P20" s="836"/>
      <c r="Q20" s="827">
        <v>1</v>
      </c>
      <c r="R20" s="266"/>
    </row>
    <row r="21" spans="1:18" ht="86.25" customHeight="1">
      <c r="A21" s="241">
        <v>113608003</v>
      </c>
      <c r="B21" s="242" t="s">
        <v>575</v>
      </c>
      <c r="C21" s="243"/>
      <c r="D21" s="243">
        <v>3732000000</v>
      </c>
      <c r="E21" s="244"/>
      <c r="F21" s="254"/>
      <c r="G21" s="245"/>
      <c r="H21" s="246"/>
      <c r="I21" s="247"/>
      <c r="J21" s="247"/>
      <c r="K21" s="248"/>
      <c r="L21" s="249"/>
      <c r="M21" s="248"/>
      <c r="N21" s="250"/>
      <c r="O21" s="72"/>
      <c r="P21" s="72"/>
      <c r="Q21" s="827">
        <v>1</v>
      </c>
      <c r="R21" s="72"/>
    </row>
    <row r="22" spans="1:18" ht="30">
      <c r="A22" s="241">
        <v>113608003000001</v>
      </c>
      <c r="B22" s="242" t="s">
        <v>576</v>
      </c>
      <c r="C22" s="243"/>
      <c r="D22" s="272">
        <v>428059397</v>
      </c>
      <c r="E22" s="824"/>
      <c r="F22" s="247"/>
      <c r="G22" s="245"/>
      <c r="H22" s="246"/>
      <c r="I22" s="247"/>
      <c r="J22" s="247"/>
      <c r="K22" s="248"/>
      <c r="L22" s="249">
        <v>0</v>
      </c>
      <c r="M22" s="248"/>
      <c r="N22" s="250"/>
      <c r="O22" s="72"/>
      <c r="P22" s="72"/>
      <c r="Q22" s="827">
        <v>1</v>
      </c>
      <c r="R22" s="72"/>
    </row>
    <row r="23" spans="1:18" ht="90">
      <c r="A23" s="241"/>
      <c r="B23" s="447" t="s">
        <v>1538</v>
      </c>
      <c r="C23" s="243"/>
      <c r="D23" s="825">
        <v>122841306</v>
      </c>
      <c r="E23" s="824" t="s">
        <v>578</v>
      </c>
      <c r="F23" s="247"/>
      <c r="G23" s="447" t="s">
        <v>1538</v>
      </c>
      <c r="H23" s="825">
        <v>122841306</v>
      </c>
      <c r="I23" s="837">
        <v>42185</v>
      </c>
      <c r="J23" s="826">
        <v>42216</v>
      </c>
      <c r="K23" s="248"/>
      <c r="L23" s="249"/>
      <c r="M23" s="248"/>
      <c r="N23" s="825">
        <v>122841306</v>
      </c>
      <c r="O23" s="72"/>
      <c r="P23" s="72"/>
      <c r="Q23" s="827">
        <v>1</v>
      </c>
      <c r="R23" s="72"/>
    </row>
    <row r="24" spans="1:18" ht="90">
      <c r="A24" s="241"/>
      <c r="B24" s="447" t="s">
        <v>1539</v>
      </c>
      <c r="C24" s="243"/>
      <c r="D24" s="825">
        <v>121945274</v>
      </c>
      <c r="E24" s="824" t="s">
        <v>1540</v>
      </c>
      <c r="F24" s="247"/>
      <c r="G24" s="447" t="s">
        <v>1539</v>
      </c>
      <c r="H24" s="825">
        <v>121945274</v>
      </c>
      <c r="I24" s="837">
        <v>42175</v>
      </c>
      <c r="J24" s="826">
        <v>42243</v>
      </c>
      <c r="K24" s="248"/>
      <c r="L24" s="249"/>
      <c r="M24" s="248"/>
      <c r="N24" s="825">
        <v>121945274</v>
      </c>
      <c r="O24" s="72"/>
      <c r="P24" s="72"/>
      <c r="Q24" s="827">
        <v>1</v>
      </c>
      <c r="R24" s="72"/>
    </row>
    <row r="25" spans="1:18" ht="165">
      <c r="A25" s="241"/>
      <c r="B25" s="447" t="s">
        <v>1541</v>
      </c>
      <c r="C25" s="243"/>
      <c r="D25" s="825">
        <v>43045002</v>
      </c>
      <c r="E25" s="824" t="s">
        <v>170</v>
      </c>
      <c r="F25" s="247"/>
      <c r="G25" s="447" t="s">
        <v>1541</v>
      </c>
      <c r="H25" s="825">
        <v>43045002</v>
      </c>
      <c r="I25" s="837">
        <v>42262</v>
      </c>
      <c r="J25" s="826">
        <v>42283</v>
      </c>
      <c r="K25" s="248"/>
      <c r="L25" s="249"/>
      <c r="M25" s="248"/>
      <c r="N25" s="825">
        <v>43045002</v>
      </c>
      <c r="O25" s="72"/>
      <c r="P25" s="72"/>
      <c r="Q25" s="827">
        <v>1</v>
      </c>
      <c r="R25" s="72"/>
    </row>
    <row r="26" spans="1:18" ht="195">
      <c r="A26" s="241"/>
      <c r="B26" s="447" t="s">
        <v>1542</v>
      </c>
      <c r="C26" s="243"/>
      <c r="D26" s="825">
        <v>19000000</v>
      </c>
      <c r="E26" s="824" t="s">
        <v>170</v>
      </c>
      <c r="F26" s="247"/>
      <c r="G26" s="447" t="s">
        <v>1542</v>
      </c>
      <c r="H26" s="825">
        <v>19000000</v>
      </c>
      <c r="I26" s="247"/>
      <c r="J26" s="826">
        <v>42292</v>
      </c>
      <c r="K26" s="248"/>
      <c r="L26" s="249"/>
      <c r="M26" s="248"/>
      <c r="N26" s="825">
        <v>19000000</v>
      </c>
      <c r="O26" s="72"/>
      <c r="P26" s="72"/>
      <c r="Q26" s="827">
        <v>1</v>
      </c>
      <c r="R26" s="72"/>
    </row>
    <row r="27" spans="1:18" ht="120">
      <c r="A27" s="241"/>
      <c r="B27" s="447" t="s">
        <v>1543</v>
      </c>
      <c r="C27" s="243"/>
      <c r="D27" s="825">
        <v>56000000</v>
      </c>
      <c r="E27" s="824" t="s">
        <v>578</v>
      </c>
      <c r="F27" s="247"/>
      <c r="G27" s="447" t="s">
        <v>1543</v>
      </c>
      <c r="H27" s="825">
        <v>56000000</v>
      </c>
      <c r="I27" s="247"/>
      <c r="J27" s="826">
        <v>42347</v>
      </c>
      <c r="K27" s="248"/>
      <c r="L27" s="249"/>
      <c r="M27" s="248"/>
      <c r="N27" s="825">
        <v>56000000</v>
      </c>
      <c r="O27" s="72"/>
      <c r="P27" s="72"/>
      <c r="Q27" s="827">
        <v>1</v>
      </c>
      <c r="R27" s="72"/>
    </row>
    <row r="28" spans="1:18">
      <c r="A28" s="241">
        <v>113608003000003</v>
      </c>
      <c r="B28" s="242" t="s">
        <v>142</v>
      </c>
      <c r="C28" s="243"/>
      <c r="D28" s="243" t="s">
        <v>1544</v>
      </c>
      <c r="E28" s="824"/>
      <c r="F28" s="247"/>
      <c r="G28" s="245"/>
      <c r="H28" s="246"/>
      <c r="I28" s="247"/>
      <c r="J28" s="247"/>
      <c r="K28" s="248"/>
      <c r="L28" s="249">
        <v>0</v>
      </c>
      <c r="M28" s="248"/>
      <c r="N28" s="250"/>
      <c r="O28" s="72"/>
      <c r="P28" s="72"/>
      <c r="Q28" s="827">
        <v>1</v>
      </c>
      <c r="R28" s="72"/>
    </row>
    <row r="29" spans="1:18" ht="120">
      <c r="A29" s="241"/>
      <c r="B29" s="447" t="s">
        <v>1545</v>
      </c>
      <c r="C29" s="838"/>
      <c r="D29" s="825">
        <v>61100000</v>
      </c>
      <c r="E29" s="839" t="s">
        <v>169</v>
      </c>
      <c r="F29" s="840"/>
      <c r="G29" s="447" t="s">
        <v>1545</v>
      </c>
      <c r="H29" s="825">
        <v>61100000</v>
      </c>
      <c r="I29" s="841">
        <v>42047</v>
      </c>
      <c r="J29" s="826">
        <v>42075</v>
      </c>
      <c r="K29" s="842"/>
      <c r="L29" s="249"/>
      <c r="M29" s="842"/>
      <c r="N29" s="825">
        <v>61100000</v>
      </c>
      <c r="O29" s="843"/>
      <c r="P29" s="843"/>
      <c r="Q29" s="827">
        <v>1</v>
      </c>
      <c r="R29" s="844"/>
    </row>
    <row r="30" spans="1:18" ht="120">
      <c r="A30" s="241"/>
      <c r="B30" s="447" t="s">
        <v>1546</v>
      </c>
      <c r="C30" s="838"/>
      <c r="D30" s="825">
        <v>54037900</v>
      </c>
      <c r="E30" s="839" t="s">
        <v>169</v>
      </c>
      <c r="F30" s="840"/>
      <c r="G30" s="447" t="s">
        <v>1546</v>
      </c>
      <c r="H30" s="825">
        <v>54037900</v>
      </c>
      <c r="I30" s="841">
        <v>42114</v>
      </c>
      <c r="J30" s="826">
        <v>42123</v>
      </c>
      <c r="K30" s="842"/>
      <c r="L30" s="249"/>
      <c r="M30" s="842"/>
      <c r="N30" s="825">
        <v>54037900</v>
      </c>
      <c r="O30" s="843"/>
      <c r="P30" s="843"/>
      <c r="Q30" s="827">
        <v>1</v>
      </c>
      <c r="R30" s="844"/>
    </row>
    <row r="31" spans="1:18" ht="105">
      <c r="A31" s="241"/>
      <c r="B31" s="447" t="s">
        <v>1547</v>
      </c>
      <c r="C31" s="838"/>
      <c r="D31" s="825">
        <v>49322468</v>
      </c>
      <c r="E31" s="839" t="s">
        <v>1548</v>
      </c>
      <c r="F31" s="840"/>
      <c r="G31" s="447" t="s">
        <v>1547</v>
      </c>
      <c r="H31" s="825">
        <v>49322468</v>
      </c>
      <c r="I31" s="841">
        <v>42114</v>
      </c>
      <c r="J31" s="826">
        <v>42123</v>
      </c>
      <c r="K31" s="842"/>
      <c r="L31" s="249"/>
      <c r="M31" s="842"/>
      <c r="N31" s="825">
        <v>49322468</v>
      </c>
      <c r="O31" s="843"/>
      <c r="P31" s="843"/>
      <c r="Q31" s="827">
        <v>1</v>
      </c>
      <c r="R31" s="844"/>
    </row>
    <row r="32" spans="1:18" ht="120">
      <c r="A32" s="241"/>
      <c r="B32" s="447" t="s">
        <v>1549</v>
      </c>
      <c r="C32" s="838"/>
      <c r="D32" s="825">
        <v>14049240</v>
      </c>
      <c r="E32" s="839" t="s">
        <v>170</v>
      </c>
      <c r="F32" s="840"/>
      <c r="G32" s="447" t="s">
        <v>1549</v>
      </c>
      <c r="H32" s="825">
        <v>14049240</v>
      </c>
      <c r="I32" s="841">
        <v>42125</v>
      </c>
      <c r="J32" s="826">
        <v>42129</v>
      </c>
      <c r="K32" s="842"/>
      <c r="L32" s="249"/>
      <c r="M32" s="842"/>
      <c r="N32" s="825">
        <v>14049240</v>
      </c>
      <c r="O32" s="843"/>
      <c r="P32" s="843"/>
      <c r="Q32" s="827">
        <v>1</v>
      </c>
      <c r="R32" s="844"/>
    </row>
    <row r="33" spans="1:18" ht="165">
      <c r="A33" s="241"/>
      <c r="B33" s="447" t="s">
        <v>1550</v>
      </c>
      <c r="C33" s="838"/>
      <c r="D33" s="825">
        <v>26983063</v>
      </c>
      <c r="E33" s="839" t="s">
        <v>169</v>
      </c>
      <c r="F33" s="840"/>
      <c r="G33" s="447" t="s">
        <v>1550</v>
      </c>
      <c r="H33" s="825">
        <v>26983063</v>
      </c>
      <c r="I33" s="840"/>
      <c r="J33" s="826">
        <v>42146</v>
      </c>
      <c r="K33" s="842"/>
      <c r="L33" s="249"/>
      <c r="M33" s="842"/>
      <c r="N33" s="825">
        <v>26983063</v>
      </c>
      <c r="O33" s="843"/>
      <c r="P33" s="843"/>
      <c r="Q33" s="827">
        <v>1</v>
      </c>
      <c r="R33" s="844"/>
    </row>
    <row r="34" spans="1:18" ht="195">
      <c r="A34" s="241"/>
      <c r="B34" s="447" t="s">
        <v>1551</v>
      </c>
      <c r="C34" s="838"/>
      <c r="D34" s="825">
        <v>27932500</v>
      </c>
      <c r="E34" s="839" t="s">
        <v>169</v>
      </c>
      <c r="F34" s="840"/>
      <c r="G34" s="447" t="s">
        <v>1551</v>
      </c>
      <c r="H34" s="825">
        <v>27932500</v>
      </c>
      <c r="I34" s="840"/>
      <c r="J34" s="826">
        <v>42159</v>
      </c>
      <c r="K34" s="842"/>
      <c r="L34" s="249"/>
      <c r="M34" s="842"/>
      <c r="N34" s="825">
        <v>27932500</v>
      </c>
      <c r="O34" s="843"/>
      <c r="P34" s="843"/>
      <c r="Q34" s="827">
        <v>1</v>
      </c>
      <c r="R34" s="844"/>
    </row>
    <row r="35" spans="1:18" ht="165">
      <c r="A35" s="241"/>
      <c r="B35" s="447" t="s">
        <v>1552</v>
      </c>
      <c r="C35" s="838"/>
      <c r="D35" s="825">
        <v>56300000</v>
      </c>
      <c r="E35" s="839" t="s">
        <v>169</v>
      </c>
      <c r="F35" s="840"/>
      <c r="G35" s="447" t="s">
        <v>1552</v>
      </c>
      <c r="H35" s="825">
        <v>56300000</v>
      </c>
      <c r="I35" s="841">
        <v>42218</v>
      </c>
      <c r="J35" s="826">
        <v>42234</v>
      </c>
      <c r="K35" s="842"/>
      <c r="L35" s="249"/>
      <c r="M35" s="842"/>
      <c r="N35" s="825">
        <v>56300000</v>
      </c>
      <c r="O35" s="843"/>
      <c r="P35" s="843"/>
      <c r="Q35" s="827">
        <v>1</v>
      </c>
      <c r="R35" s="844"/>
    </row>
    <row r="36" spans="1:18" ht="90">
      <c r="A36" s="241"/>
      <c r="B36" s="447" t="s">
        <v>1553</v>
      </c>
      <c r="C36" s="838"/>
      <c r="D36" s="825">
        <v>28440998</v>
      </c>
      <c r="E36" s="839" t="s">
        <v>583</v>
      </c>
      <c r="F36" s="840"/>
      <c r="G36" s="447" t="s">
        <v>1553</v>
      </c>
      <c r="H36" s="825">
        <v>28440998</v>
      </c>
      <c r="I36" s="841">
        <v>42273</v>
      </c>
      <c r="J36" s="826">
        <v>42284</v>
      </c>
      <c r="K36" s="842"/>
      <c r="L36" s="249"/>
      <c r="M36" s="842"/>
      <c r="N36" s="825">
        <v>28440998</v>
      </c>
      <c r="O36" s="843"/>
      <c r="P36" s="843"/>
      <c r="Q36" s="827">
        <v>1</v>
      </c>
      <c r="R36" s="844"/>
    </row>
    <row r="37" spans="1:18" ht="75">
      <c r="A37" s="241"/>
      <c r="B37" s="447" t="s">
        <v>1554</v>
      </c>
      <c r="C37" s="838"/>
      <c r="D37" s="825">
        <v>39501386</v>
      </c>
      <c r="E37" s="839" t="s">
        <v>584</v>
      </c>
      <c r="F37" s="840"/>
      <c r="G37" s="447" t="s">
        <v>1554</v>
      </c>
      <c r="H37" s="825">
        <v>39501386</v>
      </c>
      <c r="I37" s="841">
        <v>42186</v>
      </c>
      <c r="J37" s="826">
        <v>42284</v>
      </c>
      <c r="K37" s="842"/>
      <c r="L37" s="249"/>
      <c r="M37" s="842"/>
      <c r="N37" s="825">
        <v>39501386</v>
      </c>
      <c r="O37" s="843"/>
      <c r="P37" s="843"/>
      <c r="Q37" s="827">
        <v>1</v>
      </c>
      <c r="R37" s="844"/>
    </row>
    <row r="38" spans="1:18" ht="75">
      <c r="A38" s="241"/>
      <c r="B38" s="447" t="s">
        <v>1555</v>
      </c>
      <c r="C38" s="838"/>
      <c r="D38" s="825">
        <v>44595478</v>
      </c>
      <c r="E38" s="839" t="s">
        <v>582</v>
      </c>
      <c r="F38" s="840"/>
      <c r="G38" s="447" t="s">
        <v>1555</v>
      </c>
      <c r="H38" s="825">
        <v>44595478</v>
      </c>
      <c r="I38" s="841">
        <v>42272</v>
      </c>
      <c r="J38" s="826">
        <v>42284</v>
      </c>
      <c r="K38" s="842"/>
      <c r="L38" s="249"/>
      <c r="M38" s="842"/>
      <c r="N38" s="825">
        <v>44595478</v>
      </c>
      <c r="O38" s="843"/>
      <c r="P38" s="843"/>
      <c r="Q38" s="827">
        <v>1</v>
      </c>
      <c r="R38" s="844"/>
    </row>
    <row r="39" spans="1:18" ht="60">
      <c r="A39" s="241"/>
      <c r="B39" s="447" t="s">
        <v>1556</v>
      </c>
      <c r="C39" s="838"/>
      <c r="D39" s="825">
        <v>51645308</v>
      </c>
      <c r="E39" s="839" t="s">
        <v>167</v>
      </c>
      <c r="F39" s="840"/>
      <c r="G39" s="447" t="s">
        <v>1556</v>
      </c>
      <c r="H39" s="825">
        <v>51645308</v>
      </c>
      <c r="I39" s="841">
        <v>42339</v>
      </c>
      <c r="J39" s="826">
        <v>42354</v>
      </c>
      <c r="K39" s="842"/>
      <c r="L39" s="249"/>
      <c r="M39" s="842"/>
      <c r="N39" s="825">
        <v>51645308</v>
      </c>
      <c r="O39" s="843"/>
      <c r="P39" s="843"/>
      <c r="Q39" s="827">
        <v>1</v>
      </c>
      <c r="R39" s="844"/>
    </row>
    <row r="40" spans="1:18" ht="90">
      <c r="A40" s="241"/>
      <c r="B40" s="447" t="s">
        <v>1557</v>
      </c>
      <c r="C40" s="845"/>
      <c r="D40" s="833">
        <v>25699275</v>
      </c>
      <c r="E40" s="839" t="s">
        <v>167</v>
      </c>
      <c r="F40" s="846"/>
      <c r="G40" s="831" t="s">
        <v>1557</v>
      </c>
      <c r="H40" s="833">
        <v>25699275</v>
      </c>
      <c r="I40" s="846"/>
      <c r="J40" s="835">
        <v>42356</v>
      </c>
      <c r="K40" s="847"/>
      <c r="L40" s="267"/>
      <c r="M40" s="847"/>
      <c r="N40" s="833">
        <v>25699275</v>
      </c>
      <c r="O40" s="843"/>
      <c r="P40" s="843"/>
      <c r="Q40" s="827">
        <v>1</v>
      </c>
      <c r="R40" s="844"/>
    </row>
    <row r="41" spans="1:18">
      <c r="A41" s="241"/>
      <c r="B41" s="447" t="s">
        <v>1558</v>
      </c>
      <c r="C41" s="845"/>
      <c r="D41" s="833">
        <v>12153600</v>
      </c>
      <c r="E41" s="839"/>
      <c r="F41" s="846"/>
      <c r="G41" s="831"/>
      <c r="H41" s="833"/>
      <c r="I41" s="846"/>
      <c r="J41" s="835"/>
      <c r="K41" s="847"/>
      <c r="L41" s="267"/>
      <c r="M41" s="847"/>
      <c r="N41" s="848"/>
      <c r="O41" s="843"/>
      <c r="P41" s="843"/>
      <c r="Q41" s="827">
        <v>1</v>
      </c>
      <c r="R41" s="844"/>
    </row>
    <row r="42" spans="1:18" s="836" customFormat="1" ht="30">
      <c r="A42" s="849">
        <v>113608003000004</v>
      </c>
      <c r="B42" s="257" t="s">
        <v>143</v>
      </c>
      <c r="C42" s="850"/>
      <c r="D42" s="272">
        <v>314067327</v>
      </c>
      <c r="E42" s="824"/>
      <c r="F42" s="263"/>
      <c r="G42" s="851"/>
      <c r="H42" s="265"/>
      <c r="I42" s="263"/>
      <c r="J42" s="263"/>
      <c r="K42" s="300"/>
      <c r="L42" s="249">
        <v>0</v>
      </c>
      <c r="M42" s="300"/>
      <c r="N42" s="268"/>
      <c r="O42" s="832"/>
      <c r="P42" s="832"/>
      <c r="Q42" s="827">
        <v>1</v>
      </c>
      <c r="R42" s="832"/>
    </row>
    <row r="43" spans="1:18" s="286" customFormat="1" ht="60">
      <c r="A43" s="283"/>
      <c r="B43" s="447" t="s">
        <v>1559</v>
      </c>
      <c r="D43" s="825">
        <v>15138000</v>
      </c>
      <c r="E43" s="335" t="s">
        <v>580</v>
      </c>
      <c r="F43" s="335"/>
      <c r="G43" s="447" t="s">
        <v>1559</v>
      </c>
      <c r="H43" s="825">
        <v>15138000</v>
      </c>
      <c r="I43" s="28">
        <v>42091</v>
      </c>
      <c r="J43" s="826">
        <v>42107</v>
      </c>
      <c r="K43" s="248"/>
      <c r="L43" s="249"/>
      <c r="M43" s="28"/>
      <c r="N43" s="825">
        <v>15138000</v>
      </c>
      <c r="O43" s="285"/>
      <c r="P43" s="285"/>
      <c r="Q43" s="827">
        <v>1</v>
      </c>
      <c r="R43" s="285"/>
    </row>
    <row r="44" spans="1:18" s="286" customFormat="1" ht="60">
      <c r="A44" s="283"/>
      <c r="B44" s="447" t="s">
        <v>1560</v>
      </c>
      <c r="D44" s="825">
        <v>23759352</v>
      </c>
      <c r="E44" s="335" t="s">
        <v>578</v>
      </c>
      <c r="F44" s="335"/>
      <c r="G44" s="447" t="s">
        <v>1560</v>
      </c>
      <c r="H44" s="825">
        <v>23759352</v>
      </c>
      <c r="I44" s="28">
        <v>42091</v>
      </c>
      <c r="J44" s="826">
        <v>42107</v>
      </c>
      <c r="K44" s="248"/>
      <c r="L44" s="249"/>
      <c r="M44" s="28"/>
      <c r="N44" s="825">
        <v>23759352</v>
      </c>
      <c r="O44" s="285"/>
      <c r="P44" s="285"/>
      <c r="Q44" s="827">
        <v>1</v>
      </c>
      <c r="R44" s="285"/>
    </row>
    <row r="45" spans="1:18" s="286" customFormat="1" ht="60">
      <c r="A45" s="283"/>
      <c r="B45" s="447" t="s">
        <v>1561</v>
      </c>
      <c r="D45" s="825">
        <v>14929200</v>
      </c>
      <c r="E45" s="335" t="s">
        <v>585</v>
      </c>
      <c r="F45" s="335"/>
      <c r="G45" s="447" t="s">
        <v>1561</v>
      </c>
      <c r="H45" s="825">
        <v>14929200</v>
      </c>
      <c r="I45" s="28">
        <v>42091</v>
      </c>
      <c r="J45" s="826">
        <v>42108</v>
      </c>
      <c r="K45" s="248"/>
      <c r="L45" s="249"/>
      <c r="M45" s="28"/>
      <c r="N45" s="825">
        <v>14929200</v>
      </c>
      <c r="O45" s="285"/>
      <c r="P45" s="285"/>
      <c r="Q45" s="827">
        <v>1</v>
      </c>
      <c r="R45" s="285"/>
    </row>
    <row r="46" spans="1:18" s="286" customFormat="1" ht="60">
      <c r="A46" s="283"/>
      <c r="B46" s="447" t="s">
        <v>1562</v>
      </c>
      <c r="D46" s="825">
        <v>22305060</v>
      </c>
      <c r="E46" s="335" t="s">
        <v>577</v>
      </c>
      <c r="F46" s="335"/>
      <c r="G46" s="447" t="s">
        <v>1562</v>
      </c>
      <c r="H46" s="825">
        <v>22305060</v>
      </c>
      <c r="I46" s="28">
        <v>42091</v>
      </c>
      <c r="J46" s="826">
        <v>42108</v>
      </c>
      <c r="K46" s="248"/>
      <c r="L46" s="249"/>
      <c r="M46" s="28"/>
      <c r="N46" s="825">
        <v>22305060</v>
      </c>
      <c r="O46" s="285"/>
      <c r="P46" s="285"/>
      <c r="Q46" s="827">
        <v>1</v>
      </c>
      <c r="R46" s="285"/>
    </row>
    <row r="47" spans="1:18" s="286" customFormat="1" ht="75">
      <c r="A47" s="283"/>
      <c r="B47" s="447" t="s">
        <v>1563</v>
      </c>
      <c r="D47" s="825">
        <v>18747740</v>
      </c>
      <c r="E47" s="335" t="s">
        <v>584</v>
      </c>
      <c r="F47" s="335"/>
      <c r="G47" s="447" t="s">
        <v>1563</v>
      </c>
      <c r="H47" s="825">
        <v>18747740</v>
      </c>
      <c r="I47" s="28">
        <v>42091</v>
      </c>
      <c r="J47" s="826">
        <v>42109</v>
      </c>
      <c r="K47" s="248"/>
      <c r="L47" s="249"/>
      <c r="M47" s="28"/>
      <c r="N47" s="825">
        <v>18747740</v>
      </c>
      <c r="O47" s="285"/>
      <c r="P47" s="285"/>
      <c r="Q47" s="827">
        <v>1</v>
      </c>
      <c r="R47" s="285"/>
    </row>
    <row r="48" spans="1:18" s="286" customFormat="1" ht="75">
      <c r="A48" s="283"/>
      <c r="B48" s="447" t="s">
        <v>1564</v>
      </c>
      <c r="D48" s="825">
        <v>15660000</v>
      </c>
      <c r="E48" s="335" t="s">
        <v>583</v>
      </c>
      <c r="F48" s="335"/>
      <c r="G48" s="447" t="s">
        <v>1564</v>
      </c>
      <c r="H48" s="825">
        <v>15660000</v>
      </c>
      <c r="I48" s="28">
        <v>42091</v>
      </c>
      <c r="J48" s="826">
        <v>42110</v>
      </c>
      <c r="K48" s="248"/>
      <c r="L48" s="249"/>
      <c r="M48" s="28"/>
      <c r="N48" s="825">
        <v>15660000</v>
      </c>
      <c r="O48" s="285"/>
      <c r="P48" s="285"/>
      <c r="Q48" s="827">
        <v>1</v>
      </c>
      <c r="R48" s="285"/>
    </row>
    <row r="49" spans="1:18" s="286" customFormat="1" ht="30">
      <c r="A49" s="283"/>
      <c r="B49" s="447" t="s">
        <v>1565</v>
      </c>
      <c r="D49" s="825">
        <v>480000</v>
      </c>
      <c r="E49" s="335" t="s">
        <v>1566</v>
      </c>
      <c r="F49" s="335"/>
      <c r="G49" s="447" t="s">
        <v>1565</v>
      </c>
      <c r="H49" s="825">
        <v>480000</v>
      </c>
      <c r="I49" s="28">
        <v>42091</v>
      </c>
      <c r="J49" s="826">
        <v>42366</v>
      </c>
      <c r="K49" s="248"/>
      <c r="L49" s="249"/>
      <c r="M49" s="28"/>
      <c r="N49" s="825">
        <v>480000</v>
      </c>
      <c r="O49" s="285"/>
      <c r="P49" s="285"/>
      <c r="Q49" s="827">
        <v>1</v>
      </c>
      <c r="R49" s="285"/>
    </row>
    <row r="50" spans="1:18" s="286" customFormat="1" ht="75">
      <c r="A50" s="283"/>
      <c r="B50" s="447" t="s">
        <v>1567</v>
      </c>
      <c r="D50" s="825">
        <v>20880000</v>
      </c>
      <c r="E50" s="335" t="s">
        <v>582</v>
      </c>
      <c r="F50" s="335"/>
      <c r="G50" s="447" t="s">
        <v>1567</v>
      </c>
      <c r="H50" s="825">
        <v>20880000</v>
      </c>
      <c r="I50" s="28">
        <v>42091</v>
      </c>
      <c r="J50" s="826">
        <v>42110</v>
      </c>
      <c r="K50" s="248"/>
      <c r="L50" s="249"/>
      <c r="M50" s="28"/>
      <c r="N50" s="825">
        <v>20880000</v>
      </c>
      <c r="O50" s="285"/>
      <c r="P50" s="285"/>
      <c r="Q50" s="827">
        <v>1</v>
      </c>
      <c r="R50" s="285"/>
    </row>
    <row r="51" spans="1:18" s="286" customFormat="1" ht="75">
      <c r="A51" s="283"/>
      <c r="B51" s="447" t="s">
        <v>1568</v>
      </c>
      <c r="D51" s="825">
        <v>16704000</v>
      </c>
      <c r="E51" s="335" t="s">
        <v>1569</v>
      </c>
      <c r="F51" s="335"/>
      <c r="G51" s="447" t="s">
        <v>1568</v>
      </c>
      <c r="H51" s="825">
        <v>16704000</v>
      </c>
      <c r="I51" s="28">
        <v>42091</v>
      </c>
      <c r="J51" s="826">
        <v>42110</v>
      </c>
      <c r="K51" s="248"/>
      <c r="L51" s="249"/>
      <c r="M51" s="28"/>
      <c r="N51" s="825">
        <v>16704000</v>
      </c>
      <c r="O51" s="285"/>
      <c r="P51" s="285"/>
      <c r="Q51" s="827">
        <v>1</v>
      </c>
      <c r="R51" s="285"/>
    </row>
    <row r="52" spans="1:18" s="286" customFormat="1" ht="90">
      <c r="A52" s="283"/>
      <c r="B52" s="447" t="s">
        <v>1570</v>
      </c>
      <c r="D52" s="825">
        <v>40000000</v>
      </c>
      <c r="E52" s="335" t="s">
        <v>1548</v>
      </c>
      <c r="F52" s="335"/>
      <c r="G52" s="447" t="s">
        <v>1570</v>
      </c>
      <c r="H52" s="825">
        <v>40000000</v>
      </c>
      <c r="I52" s="28">
        <v>42091</v>
      </c>
      <c r="J52" s="826">
        <v>42110</v>
      </c>
      <c r="K52" s="248"/>
      <c r="L52" s="249"/>
      <c r="M52" s="28"/>
      <c r="N52" s="825">
        <v>40000000</v>
      </c>
      <c r="O52" s="285"/>
      <c r="P52" s="285"/>
      <c r="Q52" s="827">
        <v>1</v>
      </c>
      <c r="R52" s="285"/>
    </row>
    <row r="53" spans="1:18" s="286" customFormat="1" ht="75">
      <c r="A53" s="283"/>
      <c r="B53" s="447" t="s">
        <v>1571</v>
      </c>
      <c r="D53" s="825">
        <v>22040000</v>
      </c>
      <c r="E53" s="335" t="s">
        <v>170</v>
      </c>
      <c r="F53" s="335"/>
      <c r="G53" s="447" t="s">
        <v>1571</v>
      </c>
      <c r="H53" s="825">
        <v>22040000</v>
      </c>
      <c r="I53" s="28">
        <v>42091</v>
      </c>
      <c r="J53" s="826">
        <v>42110</v>
      </c>
      <c r="K53" s="248"/>
      <c r="L53" s="249"/>
      <c r="M53" s="28"/>
      <c r="N53" s="825">
        <v>22040000</v>
      </c>
      <c r="O53" s="285"/>
      <c r="P53" s="285"/>
      <c r="Q53" s="827">
        <v>1</v>
      </c>
      <c r="R53" s="285"/>
    </row>
    <row r="54" spans="1:18" s="286" customFormat="1" ht="75">
      <c r="A54" s="283"/>
      <c r="B54" s="447" t="s">
        <v>1572</v>
      </c>
      <c r="D54" s="825">
        <v>15660000</v>
      </c>
      <c r="E54" s="335" t="s">
        <v>1573</v>
      </c>
      <c r="F54" s="335"/>
      <c r="G54" s="447" t="s">
        <v>1572</v>
      </c>
      <c r="H54" s="825">
        <v>15660000</v>
      </c>
      <c r="I54" s="28">
        <v>42091</v>
      </c>
      <c r="J54" s="826">
        <v>42110</v>
      </c>
      <c r="K54" s="248"/>
      <c r="L54" s="249"/>
      <c r="M54" s="28"/>
      <c r="N54" s="825">
        <v>15660000</v>
      </c>
      <c r="O54" s="285"/>
      <c r="P54" s="285"/>
      <c r="Q54" s="827">
        <v>1</v>
      </c>
      <c r="R54" s="285"/>
    </row>
    <row r="55" spans="1:18" s="286" customFormat="1" ht="120">
      <c r="A55" s="283"/>
      <c r="B55" s="447" t="s">
        <v>1574</v>
      </c>
      <c r="D55" s="825">
        <v>14479032</v>
      </c>
      <c r="E55" s="335" t="s">
        <v>583</v>
      </c>
      <c r="F55" s="335"/>
      <c r="G55" s="447" t="s">
        <v>1574</v>
      </c>
      <c r="H55" s="825">
        <v>14479032</v>
      </c>
      <c r="I55" s="28">
        <v>42180</v>
      </c>
      <c r="J55" s="826">
        <v>42193</v>
      </c>
      <c r="K55" s="248"/>
      <c r="L55" s="249"/>
      <c r="M55" s="28"/>
      <c r="N55" s="825">
        <v>14479032</v>
      </c>
      <c r="O55" s="285"/>
      <c r="P55" s="285"/>
      <c r="Q55" s="827">
        <v>1</v>
      </c>
      <c r="R55" s="285"/>
    </row>
    <row r="56" spans="1:18" s="286" customFormat="1" ht="105">
      <c r="A56" s="283"/>
      <c r="B56" s="447" t="s">
        <v>1575</v>
      </c>
      <c r="D56" s="825">
        <v>7400000</v>
      </c>
      <c r="E56" s="335" t="s">
        <v>580</v>
      </c>
      <c r="F56" s="335"/>
      <c r="G56" s="447" t="s">
        <v>1575</v>
      </c>
      <c r="H56" s="825">
        <v>7400000</v>
      </c>
      <c r="I56" s="28">
        <v>42239</v>
      </c>
      <c r="J56" s="826">
        <v>42255</v>
      </c>
      <c r="K56" s="248"/>
      <c r="L56" s="249"/>
      <c r="M56" s="28"/>
      <c r="N56" s="825">
        <v>7400000</v>
      </c>
      <c r="O56" s="285"/>
      <c r="P56" s="285"/>
      <c r="Q56" s="827">
        <v>1</v>
      </c>
      <c r="R56" s="285"/>
    </row>
    <row r="57" spans="1:18" s="286" customFormat="1" ht="165">
      <c r="A57" s="283"/>
      <c r="B57" s="447" t="s">
        <v>1576</v>
      </c>
      <c r="D57" s="825">
        <v>7100000</v>
      </c>
      <c r="E57" s="335" t="s">
        <v>583</v>
      </c>
      <c r="F57" s="335"/>
      <c r="G57" s="447" t="s">
        <v>1576</v>
      </c>
      <c r="H57" s="825">
        <v>7100000</v>
      </c>
      <c r="I57" s="28">
        <v>42239</v>
      </c>
      <c r="J57" s="826">
        <v>42255</v>
      </c>
      <c r="K57" s="248"/>
      <c r="L57" s="249"/>
      <c r="M57" s="28"/>
      <c r="N57" s="825">
        <v>7100000</v>
      </c>
      <c r="O57" s="285"/>
      <c r="P57" s="285"/>
      <c r="Q57" s="827">
        <v>1</v>
      </c>
      <c r="R57" s="285"/>
    </row>
    <row r="58" spans="1:18" s="286" customFormat="1" ht="120">
      <c r="A58" s="283"/>
      <c r="B58" s="447" t="s">
        <v>1577</v>
      </c>
      <c r="D58" s="825">
        <v>7000000</v>
      </c>
      <c r="E58" s="335" t="s">
        <v>585</v>
      </c>
      <c r="F58" s="335"/>
      <c r="G58" s="447" t="s">
        <v>1577</v>
      </c>
      <c r="H58" s="825">
        <v>7000000</v>
      </c>
      <c r="I58" s="28">
        <v>42239</v>
      </c>
      <c r="J58" s="826">
        <v>42255</v>
      </c>
      <c r="K58" s="248"/>
      <c r="L58" s="249"/>
      <c r="M58" s="28"/>
      <c r="N58" s="825">
        <v>7000000</v>
      </c>
      <c r="O58" s="285"/>
      <c r="P58" s="285"/>
      <c r="Q58" s="827">
        <v>1</v>
      </c>
      <c r="R58" s="285"/>
    </row>
    <row r="59" spans="1:18" s="286" customFormat="1" ht="105">
      <c r="A59" s="283"/>
      <c r="B59" s="447" t="s">
        <v>1578</v>
      </c>
      <c r="D59" s="825">
        <v>11152530</v>
      </c>
      <c r="E59" s="335" t="s">
        <v>577</v>
      </c>
      <c r="F59" s="335"/>
      <c r="G59" s="447" t="s">
        <v>1578</v>
      </c>
      <c r="H59" s="825">
        <v>11152530</v>
      </c>
      <c r="I59" s="28">
        <v>42239</v>
      </c>
      <c r="J59" s="826">
        <v>42255</v>
      </c>
      <c r="K59" s="248"/>
      <c r="L59" s="249"/>
      <c r="M59" s="28"/>
      <c r="N59" s="825">
        <v>11152530</v>
      </c>
      <c r="O59" s="285"/>
      <c r="P59" s="285"/>
      <c r="Q59" s="827">
        <v>1</v>
      </c>
      <c r="R59" s="285"/>
    </row>
    <row r="60" spans="1:18" s="286" customFormat="1" ht="75">
      <c r="A60" s="283"/>
      <c r="B60" s="447" t="s">
        <v>1579</v>
      </c>
      <c r="D60" s="825">
        <v>19650720</v>
      </c>
      <c r="E60" s="335" t="s">
        <v>170</v>
      </c>
      <c r="F60" s="335"/>
      <c r="G60" s="447" t="s">
        <v>1579</v>
      </c>
      <c r="H60" s="825">
        <v>19650720</v>
      </c>
      <c r="I60" s="28">
        <v>42339</v>
      </c>
      <c r="J60" s="826">
        <v>42354</v>
      </c>
      <c r="K60" s="248"/>
      <c r="L60" s="249"/>
      <c r="M60" s="28"/>
      <c r="N60" s="825">
        <v>19650720</v>
      </c>
      <c r="O60" s="285"/>
      <c r="P60" s="285"/>
      <c r="Q60" s="827">
        <v>1</v>
      </c>
      <c r="R60" s="285"/>
    </row>
    <row r="61" spans="1:18" s="853" customFormat="1" ht="90">
      <c r="A61" s="852"/>
      <c r="B61" s="831" t="s">
        <v>1580</v>
      </c>
      <c r="D61" s="833">
        <v>19720000</v>
      </c>
      <c r="E61" s="335" t="s">
        <v>1548</v>
      </c>
      <c r="F61" s="850"/>
      <c r="G61" s="831" t="s">
        <v>1580</v>
      </c>
      <c r="H61" s="833">
        <v>19720000</v>
      </c>
      <c r="I61" s="28">
        <v>42339</v>
      </c>
      <c r="J61" s="835">
        <v>42354</v>
      </c>
      <c r="K61" s="300"/>
      <c r="L61" s="267"/>
      <c r="M61" s="854"/>
      <c r="N61" s="833">
        <v>19720000</v>
      </c>
      <c r="O61" s="855"/>
      <c r="P61" s="855"/>
      <c r="Q61" s="827">
        <v>1</v>
      </c>
      <c r="R61" s="855"/>
    </row>
    <row r="62" spans="1:18" s="256" customFormat="1" ht="25.5">
      <c r="A62" s="252"/>
      <c r="B62" s="856" t="s">
        <v>1581</v>
      </c>
      <c r="C62" s="249"/>
      <c r="D62" s="275">
        <v>378331029</v>
      </c>
      <c r="E62" s="335"/>
      <c r="F62" s="857"/>
      <c r="G62" s="273"/>
      <c r="H62" s="246"/>
      <c r="I62" s="247"/>
      <c r="J62" s="255"/>
      <c r="K62" s="248"/>
      <c r="L62" s="249"/>
      <c r="M62" s="248"/>
      <c r="N62" s="250"/>
      <c r="O62" s="248"/>
      <c r="P62" s="248"/>
      <c r="Q62" s="827">
        <v>1</v>
      </c>
      <c r="R62" s="248"/>
    </row>
    <row r="63" spans="1:18" s="256" customFormat="1" ht="75">
      <c r="A63" s="252"/>
      <c r="B63" s="447" t="s">
        <v>1582</v>
      </c>
      <c r="C63" s="249"/>
      <c r="D63" s="825">
        <v>27485493</v>
      </c>
      <c r="E63" s="335" t="s">
        <v>583</v>
      </c>
      <c r="F63" s="857"/>
      <c r="G63" s="447" t="s">
        <v>1582</v>
      </c>
      <c r="H63" s="825">
        <v>27485493</v>
      </c>
      <c r="I63" s="837">
        <v>42226</v>
      </c>
      <c r="J63" s="826">
        <v>42234</v>
      </c>
      <c r="K63" s="248"/>
      <c r="L63" s="249"/>
      <c r="M63" s="248"/>
      <c r="N63" s="825">
        <v>27485493</v>
      </c>
      <c r="O63" s="248"/>
      <c r="P63" s="248"/>
      <c r="Q63" s="827">
        <v>1</v>
      </c>
      <c r="R63" s="248"/>
    </row>
    <row r="64" spans="1:18" s="256" customFormat="1" ht="90">
      <c r="A64" s="252"/>
      <c r="B64" s="447" t="s">
        <v>1583</v>
      </c>
      <c r="C64" s="249"/>
      <c r="D64" s="825">
        <v>29728937</v>
      </c>
      <c r="E64" s="335" t="s">
        <v>170</v>
      </c>
      <c r="F64" s="857"/>
      <c r="G64" s="447" t="s">
        <v>1583</v>
      </c>
      <c r="H64" s="825">
        <v>29728937</v>
      </c>
      <c r="I64" s="837">
        <v>42226</v>
      </c>
      <c r="J64" s="826">
        <v>42234</v>
      </c>
      <c r="K64" s="248"/>
      <c r="L64" s="249"/>
      <c r="M64" s="248"/>
      <c r="N64" s="825">
        <v>29728937</v>
      </c>
      <c r="O64" s="248"/>
      <c r="P64" s="248"/>
      <c r="Q64" s="827">
        <v>1</v>
      </c>
      <c r="R64" s="248"/>
    </row>
    <row r="65" spans="1:18" s="256" customFormat="1" ht="60">
      <c r="A65" s="252"/>
      <c r="B65" s="447" t="s">
        <v>1584</v>
      </c>
      <c r="C65" s="249"/>
      <c r="D65" s="825">
        <v>98489947</v>
      </c>
      <c r="E65" s="335" t="s">
        <v>168</v>
      </c>
      <c r="F65" s="857"/>
      <c r="G65" s="447" t="s">
        <v>1584</v>
      </c>
      <c r="H65" s="825">
        <v>98489947</v>
      </c>
      <c r="I65" s="837">
        <v>42236</v>
      </c>
      <c r="J65" s="826">
        <v>42242</v>
      </c>
      <c r="K65" s="248"/>
      <c r="L65" s="249"/>
      <c r="M65" s="248"/>
      <c r="N65" s="825">
        <v>98489947</v>
      </c>
      <c r="O65" s="248"/>
      <c r="P65" s="248"/>
      <c r="Q65" s="827">
        <v>1</v>
      </c>
      <c r="R65" s="248"/>
    </row>
    <row r="66" spans="1:18" s="256" customFormat="1" ht="135">
      <c r="A66" s="252"/>
      <c r="B66" s="447" t="s">
        <v>1585</v>
      </c>
      <c r="C66" s="249"/>
      <c r="D66" s="825">
        <v>14500000</v>
      </c>
      <c r="E66" s="335" t="s">
        <v>170</v>
      </c>
      <c r="F66" s="857"/>
      <c r="G66" s="447" t="s">
        <v>1585</v>
      </c>
      <c r="H66" s="825">
        <v>14500000</v>
      </c>
      <c r="I66" s="247"/>
      <c r="J66" s="826">
        <v>42255</v>
      </c>
      <c r="K66" s="248"/>
      <c r="L66" s="249"/>
      <c r="M66" s="248"/>
      <c r="N66" s="825">
        <v>14500000</v>
      </c>
      <c r="O66" s="248"/>
      <c r="P66" s="248"/>
      <c r="Q66" s="827">
        <v>1</v>
      </c>
      <c r="R66" s="248"/>
    </row>
    <row r="67" spans="1:18" s="256" customFormat="1" ht="60">
      <c r="A67" s="252"/>
      <c r="B67" s="447" t="s">
        <v>1586</v>
      </c>
      <c r="C67" s="249"/>
      <c r="D67" s="825">
        <v>61600000</v>
      </c>
      <c r="E67" s="335" t="s">
        <v>1548</v>
      </c>
      <c r="F67" s="857"/>
      <c r="G67" s="447" t="s">
        <v>1586</v>
      </c>
      <c r="H67" s="825">
        <v>61600000</v>
      </c>
      <c r="I67" s="837">
        <v>42272</v>
      </c>
      <c r="J67" s="826">
        <v>42283</v>
      </c>
      <c r="K67" s="248"/>
      <c r="L67" s="249"/>
      <c r="M67" s="248"/>
      <c r="N67" s="825">
        <v>61600000</v>
      </c>
      <c r="O67" s="248"/>
      <c r="P67" s="248"/>
      <c r="Q67" s="827">
        <v>1</v>
      </c>
      <c r="R67" s="248"/>
    </row>
    <row r="68" spans="1:18" s="256" customFormat="1" ht="150">
      <c r="A68" s="252"/>
      <c r="B68" s="447" t="s">
        <v>1587</v>
      </c>
      <c r="C68" s="249"/>
      <c r="D68" s="825">
        <v>145000000</v>
      </c>
      <c r="E68" s="335"/>
      <c r="F68" s="857"/>
      <c r="G68" s="447" t="s">
        <v>1587</v>
      </c>
      <c r="H68" s="825">
        <v>145000000</v>
      </c>
      <c r="I68" s="837">
        <v>42267</v>
      </c>
      <c r="J68" s="826">
        <v>42304</v>
      </c>
      <c r="K68" s="248"/>
      <c r="L68" s="249"/>
      <c r="M68" s="248"/>
      <c r="N68" s="825">
        <v>145000000</v>
      </c>
      <c r="O68" s="248"/>
      <c r="P68" s="248"/>
      <c r="Q68" s="827">
        <v>1</v>
      </c>
      <c r="R68" s="248"/>
    </row>
    <row r="69" spans="1:18" s="836" customFormat="1" ht="30">
      <c r="A69" s="849">
        <v>113608003000006</v>
      </c>
      <c r="B69" s="257" t="s">
        <v>144</v>
      </c>
      <c r="C69" s="272"/>
      <c r="D69" s="272">
        <v>865184227</v>
      </c>
      <c r="E69" s="335"/>
      <c r="F69" s="288"/>
      <c r="G69" s="851"/>
      <c r="H69" s="265"/>
      <c r="I69" s="263"/>
      <c r="J69" s="263"/>
      <c r="K69" s="300"/>
      <c r="L69" s="249">
        <v>0</v>
      </c>
      <c r="M69" s="300"/>
      <c r="N69" s="268"/>
      <c r="O69" s="832"/>
      <c r="P69" s="832"/>
      <c r="Q69" s="827">
        <v>1</v>
      </c>
      <c r="R69" s="832"/>
    </row>
    <row r="70" spans="1:18" s="836" customFormat="1" ht="165">
      <c r="A70" s="849"/>
      <c r="B70" s="831" t="s">
        <v>1588</v>
      </c>
      <c r="C70" s="272"/>
      <c r="D70" s="833">
        <v>60000000</v>
      </c>
      <c r="E70" s="335" t="s">
        <v>169</v>
      </c>
      <c r="F70" s="288"/>
      <c r="G70" s="831" t="s">
        <v>1588</v>
      </c>
      <c r="H70" s="833">
        <v>60000000</v>
      </c>
      <c r="I70" s="829">
        <v>42045</v>
      </c>
      <c r="J70" s="835">
        <v>42048</v>
      </c>
      <c r="K70" s="300"/>
      <c r="L70" s="267"/>
      <c r="M70" s="847"/>
      <c r="N70" s="833">
        <v>60000000</v>
      </c>
      <c r="O70" s="858"/>
      <c r="P70" s="858"/>
      <c r="Q70" s="827">
        <v>1</v>
      </c>
      <c r="R70" s="858"/>
    </row>
    <row r="71" spans="1:18" s="836" customFormat="1" ht="150">
      <c r="A71" s="849"/>
      <c r="B71" s="447" t="s">
        <v>1589</v>
      </c>
      <c r="C71" s="272"/>
      <c r="D71" s="825">
        <v>49561753</v>
      </c>
      <c r="E71" s="335" t="s">
        <v>170</v>
      </c>
      <c r="F71" s="288"/>
      <c r="G71" s="447" t="s">
        <v>1589</v>
      </c>
      <c r="H71" s="825">
        <v>49561753</v>
      </c>
      <c r="I71" s="829">
        <v>42048</v>
      </c>
      <c r="J71" s="826">
        <v>42076</v>
      </c>
      <c r="K71" s="300"/>
      <c r="L71" s="249"/>
      <c r="M71" s="847"/>
      <c r="N71" s="825">
        <v>49561753</v>
      </c>
      <c r="O71" s="858"/>
      <c r="P71" s="858"/>
      <c r="Q71" s="827">
        <v>1</v>
      </c>
      <c r="R71" s="858"/>
    </row>
    <row r="72" spans="1:18" s="836" customFormat="1" ht="210">
      <c r="A72" s="849"/>
      <c r="B72" s="447" t="s">
        <v>1590</v>
      </c>
      <c r="C72" s="272"/>
      <c r="D72" s="825">
        <v>17613548</v>
      </c>
      <c r="E72" s="859" t="s">
        <v>170</v>
      </c>
      <c r="F72" s="288"/>
      <c r="G72" s="447" t="s">
        <v>1590</v>
      </c>
      <c r="H72" s="825">
        <v>17613548</v>
      </c>
      <c r="I72" s="263"/>
      <c r="J72" s="826">
        <v>42129</v>
      </c>
      <c r="K72" s="300"/>
      <c r="L72" s="249"/>
      <c r="M72" s="847"/>
      <c r="N72" s="825">
        <v>17613548</v>
      </c>
      <c r="O72" s="858"/>
      <c r="P72" s="858"/>
      <c r="Q72" s="827">
        <v>1</v>
      </c>
      <c r="R72" s="858"/>
    </row>
    <row r="73" spans="1:18" s="836" customFormat="1" ht="195">
      <c r="A73" s="849"/>
      <c r="B73" s="447" t="s">
        <v>1591</v>
      </c>
      <c r="C73" s="272"/>
      <c r="D73" s="825">
        <v>30000000</v>
      </c>
      <c r="E73" s="859" t="s">
        <v>170</v>
      </c>
      <c r="F73" s="288"/>
      <c r="G73" s="447" t="s">
        <v>1591</v>
      </c>
      <c r="H73" s="825">
        <v>30000000</v>
      </c>
      <c r="I73" s="263"/>
      <c r="J73" s="826">
        <v>42138</v>
      </c>
      <c r="K73" s="300"/>
      <c r="L73" s="249"/>
      <c r="M73" s="847"/>
      <c r="N73" s="825">
        <v>30000000</v>
      </c>
      <c r="O73" s="858"/>
      <c r="P73" s="858"/>
      <c r="Q73" s="827">
        <v>1</v>
      </c>
      <c r="R73" s="858"/>
    </row>
    <row r="74" spans="1:18" s="836" customFormat="1" ht="195">
      <c r="A74" s="849"/>
      <c r="B74" s="447" t="s">
        <v>1592</v>
      </c>
      <c r="C74" s="272"/>
      <c r="D74" s="825">
        <v>7057063</v>
      </c>
      <c r="E74" s="859" t="s">
        <v>170</v>
      </c>
      <c r="F74" s="288"/>
      <c r="G74" s="447" t="s">
        <v>1592</v>
      </c>
      <c r="H74" s="825">
        <v>7057063</v>
      </c>
      <c r="I74" s="263"/>
      <c r="J74" s="826">
        <v>42138</v>
      </c>
      <c r="K74" s="300"/>
      <c r="L74" s="249"/>
      <c r="M74" s="847"/>
      <c r="N74" s="825">
        <v>7057063</v>
      </c>
      <c r="O74" s="858"/>
      <c r="P74" s="858"/>
      <c r="Q74" s="827">
        <v>1</v>
      </c>
      <c r="R74" s="858"/>
    </row>
    <row r="75" spans="1:18" s="836" customFormat="1" ht="75">
      <c r="A75" s="849"/>
      <c r="B75" s="447" t="s">
        <v>1593</v>
      </c>
      <c r="C75" s="272"/>
      <c r="D75" s="825">
        <v>48058650</v>
      </c>
      <c r="E75" s="335" t="s">
        <v>580</v>
      </c>
      <c r="F75" s="288"/>
      <c r="G75" s="447" t="s">
        <v>1593</v>
      </c>
      <c r="H75" s="825">
        <v>48058650</v>
      </c>
      <c r="I75" s="829">
        <v>42226</v>
      </c>
      <c r="J75" s="826">
        <v>42234</v>
      </c>
      <c r="K75" s="300"/>
      <c r="L75" s="249"/>
      <c r="M75" s="847"/>
      <c r="N75" s="825">
        <v>48058650</v>
      </c>
      <c r="O75" s="858"/>
      <c r="P75" s="858"/>
      <c r="Q75" s="827">
        <v>1</v>
      </c>
      <c r="R75" s="858"/>
    </row>
    <row r="76" spans="1:18" s="836" customFormat="1" ht="75">
      <c r="A76" s="849"/>
      <c r="B76" s="447" t="s">
        <v>1594</v>
      </c>
      <c r="C76" s="272"/>
      <c r="D76" s="825">
        <v>47512950</v>
      </c>
      <c r="E76" s="335" t="s">
        <v>580</v>
      </c>
      <c r="F76" s="288"/>
      <c r="G76" s="447" t="s">
        <v>1594</v>
      </c>
      <c r="H76" s="825">
        <v>47512950</v>
      </c>
      <c r="I76" s="829">
        <v>42226</v>
      </c>
      <c r="J76" s="826">
        <v>42234</v>
      </c>
      <c r="K76" s="300"/>
      <c r="L76" s="249"/>
      <c r="M76" s="847"/>
      <c r="N76" s="825">
        <v>47512950</v>
      </c>
      <c r="O76" s="858"/>
      <c r="P76" s="858"/>
      <c r="Q76" s="827">
        <v>1</v>
      </c>
      <c r="R76" s="858"/>
    </row>
    <row r="77" spans="1:18" s="836" customFormat="1" ht="75">
      <c r="A77" s="849"/>
      <c r="B77" s="447" t="s">
        <v>1595</v>
      </c>
      <c r="C77" s="272"/>
      <c r="D77" s="825">
        <v>118794587</v>
      </c>
      <c r="E77" s="335" t="s">
        <v>582</v>
      </c>
      <c r="F77" s="288"/>
      <c r="G77" s="447" t="s">
        <v>1595</v>
      </c>
      <c r="H77" s="825">
        <v>118794587</v>
      </c>
      <c r="I77" s="829">
        <v>42226</v>
      </c>
      <c r="J77" s="826">
        <v>42240</v>
      </c>
      <c r="K77" s="300"/>
      <c r="L77" s="249"/>
      <c r="M77" s="847"/>
      <c r="N77" s="825">
        <v>118794587</v>
      </c>
      <c r="O77" s="858"/>
      <c r="P77" s="858"/>
      <c r="Q77" s="827">
        <v>1</v>
      </c>
      <c r="R77" s="858"/>
    </row>
    <row r="78" spans="1:18" s="836" customFormat="1" ht="150">
      <c r="A78" s="849"/>
      <c r="B78" s="447" t="s">
        <v>1596</v>
      </c>
      <c r="C78" s="272"/>
      <c r="D78" s="825">
        <v>127000000</v>
      </c>
      <c r="E78" s="335" t="s">
        <v>1548</v>
      </c>
      <c r="F78" s="288"/>
      <c r="G78" s="447" t="s">
        <v>1596</v>
      </c>
      <c r="H78" s="825">
        <v>127000000</v>
      </c>
      <c r="I78" s="829">
        <v>42226</v>
      </c>
      <c r="J78" s="826">
        <v>42240</v>
      </c>
      <c r="K78" s="300"/>
      <c r="L78" s="249"/>
      <c r="M78" s="847"/>
      <c r="N78" s="825">
        <v>127000000</v>
      </c>
      <c r="O78" s="858"/>
      <c r="P78" s="858"/>
      <c r="Q78" s="827">
        <v>1</v>
      </c>
      <c r="R78" s="858"/>
    </row>
    <row r="79" spans="1:18" s="836" customFormat="1" ht="150">
      <c r="A79" s="849"/>
      <c r="B79" s="447" t="s">
        <v>1597</v>
      </c>
      <c r="C79" s="272"/>
      <c r="D79" s="825">
        <v>200000000</v>
      </c>
      <c r="E79" s="335" t="s">
        <v>169</v>
      </c>
      <c r="F79" s="288"/>
      <c r="G79" s="447" t="s">
        <v>1597</v>
      </c>
      <c r="H79" s="825">
        <v>200000000</v>
      </c>
      <c r="I79" s="829">
        <v>42205</v>
      </c>
      <c r="J79" s="826">
        <v>42242</v>
      </c>
      <c r="K79" s="300"/>
      <c r="L79" s="249"/>
      <c r="M79" s="847"/>
      <c r="N79" s="825">
        <v>200000000</v>
      </c>
      <c r="O79" s="858"/>
      <c r="P79" s="858"/>
      <c r="Q79" s="827">
        <v>1</v>
      </c>
      <c r="R79" s="858"/>
    </row>
    <row r="80" spans="1:18" s="836" customFormat="1" ht="60">
      <c r="A80" s="849"/>
      <c r="B80" s="447" t="s">
        <v>1598</v>
      </c>
      <c r="C80" s="272"/>
      <c r="D80" s="825">
        <v>109530255</v>
      </c>
      <c r="E80" s="335" t="s">
        <v>1599</v>
      </c>
      <c r="F80" s="288"/>
      <c r="G80" s="447" t="s">
        <v>1598</v>
      </c>
      <c r="H80" s="825">
        <v>109530255</v>
      </c>
      <c r="I80" s="829">
        <v>42205</v>
      </c>
      <c r="J80" s="826">
        <v>42243</v>
      </c>
      <c r="K80" s="300"/>
      <c r="L80" s="249"/>
      <c r="M80" s="847"/>
      <c r="N80" s="825">
        <v>109530255</v>
      </c>
      <c r="O80" s="858"/>
      <c r="P80" s="858"/>
      <c r="Q80" s="827">
        <v>1</v>
      </c>
      <c r="R80" s="858"/>
    </row>
    <row r="81" spans="1:18" s="836" customFormat="1" ht="150">
      <c r="A81" s="849"/>
      <c r="B81" s="831" t="s">
        <v>1600</v>
      </c>
      <c r="C81" s="272"/>
      <c r="D81" s="833">
        <v>23700000</v>
      </c>
      <c r="E81" s="335" t="s">
        <v>581</v>
      </c>
      <c r="F81" s="288"/>
      <c r="G81" s="831" t="s">
        <v>1600</v>
      </c>
      <c r="H81" s="833">
        <v>23700000</v>
      </c>
      <c r="I81" s="829">
        <v>42193</v>
      </c>
      <c r="J81" s="835">
        <v>42255</v>
      </c>
      <c r="K81" s="300"/>
      <c r="L81" s="267"/>
      <c r="M81" s="847"/>
      <c r="N81" s="833">
        <v>23700000</v>
      </c>
      <c r="O81" s="858"/>
      <c r="P81" s="858"/>
      <c r="Q81" s="827">
        <v>1</v>
      </c>
      <c r="R81" s="858"/>
    </row>
    <row r="82" spans="1:18" s="836" customFormat="1" ht="105">
      <c r="A82" s="849"/>
      <c r="B82" s="447" t="s">
        <v>1601</v>
      </c>
      <c r="C82" s="272"/>
      <c r="D82" s="825">
        <v>23000000</v>
      </c>
      <c r="E82" s="335" t="s">
        <v>580</v>
      </c>
      <c r="F82" s="288"/>
      <c r="G82" s="447" t="s">
        <v>1601</v>
      </c>
      <c r="H82" s="825">
        <v>23000000</v>
      </c>
      <c r="I82" s="829">
        <v>42267</v>
      </c>
      <c r="J82" s="826">
        <v>42277</v>
      </c>
      <c r="K82" s="300"/>
      <c r="L82" s="249"/>
      <c r="M82" s="847"/>
      <c r="N82" s="825">
        <v>23000000</v>
      </c>
      <c r="O82" s="858"/>
      <c r="P82" s="858"/>
      <c r="Q82" s="827">
        <v>1</v>
      </c>
      <c r="R82" s="858"/>
    </row>
    <row r="83" spans="1:18" s="298" customFormat="1" ht="30">
      <c r="A83" s="290">
        <v>113608003000007</v>
      </c>
      <c r="B83" s="291" t="s">
        <v>221</v>
      </c>
      <c r="C83" s="292"/>
      <c r="D83" s="860">
        <v>183209197</v>
      </c>
      <c r="E83" s="335"/>
      <c r="F83" s="293"/>
      <c r="G83" s="294"/>
      <c r="H83" s="295"/>
      <c r="I83" s="293"/>
      <c r="J83" s="293"/>
      <c r="K83" s="296"/>
      <c r="L83" s="249">
        <v>0</v>
      </c>
      <c r="M83" s="296"/>
      <c r="N83" s="297"/>
      <c r="O83" s="296"/>
      <c r="P83" s="296"/>
      <c r="Q83" s="827">
        <v>1</v>
      </c>
      <c r="R83" s="296"/>
    </row>
    <row r="84" spans="1:18" s="301" customFormat="1" ht="75">
      <c r="A84" s="299"/>
      <c r="B84" s="831" t="s">
        <v>1602</v>
      </c>
      <c r="C84" s="261"/>
      <c r="D84" s="833">
        <v>125318528</v>
      </c>
      <c r="E84" s="861" t="s">
        <v>165</v>
      </c>
      <c r="F84" s="263"/>
      <c r="G84" s="831" t="s">
        <v>1602</v>
      </c>
      <c r="H84" s="833">
        <v>125318528</v>
      </c>
      <c r="I84" s="271">
        <v>42135</v>
      </c>
      <c r="J84" s="835">
        <v>42242</v>
      </c>
      <c r="K84" s="300"/>
      <c r="L84" s="267">
        <v>0</v>
      </c>
      <c r="M84" s="300"/>
      <c r="N84" s="833">
        <v>125318528</v>
      </c>
      <c r="O84" s="300" t="s">
        <v>574</v>
      </c>
      <c r="P84" s="300"/>
      <c r="Q84" s="827">
        <v>1</v>
      </c>
      <c r="R84" s="300"/>
    </row>
    <row r="85" spans="1:18" s="301" customFormat="1" ht="75">
      <c r="A85" s="299"/>
      <c r="B85" s="447" t="s">
        <v>1603</v>
      </c>
      <c r="C85" s="261"/>
      <c r="D85" s="825">
        <v>38130021</v>
      </c>
      <c r="E85" s="862" t="s">
        <v>167</v>
      </c>
      <c r="F85" s="263"/>
      <c r="G85" s="447" t="s">
        <v>1603</v>
      </c>
      <c r="H85" s="825">
        <v>38130021</v>
      </c>
      <c r="I85" s="271">
        <v>42267</v>
      </c>
      <c r="J85" s="826">
        <v>42299</v>
      </c>
      <c r="K85" s="300"/>
      <c r="L85" s="249"/>
      <c r="M85" s="300"/>
      <c r="N85" s="825">
        <v>38130021</v>
      </c>
      <c r="O85" s="248"/>
      <c r="P85" s="300"/>
      <c r="Q85" s="827">
        <v>1</v>
      </c>
      <c r="R85" s="300"/>
    </row>
    <row r="86" spans="1:18" s="301" customFormat="1" ht="120">
      <c r="A86" s="299"/>
      <c r="B86" s="447" t="s">
        <v>1604</v>
      </c>
      <c r="C86" s="261"/>
      <c r="D86" s="825">
        <v>19000000</v>
      </c>
      <c r="E86" s="862" t="s">
        <v>1605</v>
      </c>
      <c r="F86" s="263"/>
      <c r="G86" s="447" t="s">
        <v>1604</v>
      </c>
      <c r="H86" s="825">
        <v>19000000</v>
      </c>
      <c r="I86" s="271"/>
      <c r="J86" s="826">
        <v>42319</v>
      </c>
      <c r="K86" s="300"/>
      <c r="L86" s="249">
        <v>0</v>
      </c>
      <c r="M86" s="300"/>
      <c r="N86" s="825">
        <v>19000000</v>
      </c>
      <c r="O86" s="248"/>
      <c r="P86" s="300"/>
      <c r="Q86" s="827">
        <v>1</v>
      </c>
      <c r="R86" s="300"/>
    </row>
    <row r="87" spans="1:18" s="298" customFormat="1" ht="30">
      <c r="A87" s="290">
        <v>113608003000011</v>
      </c>
      <c r="B87" s="291" t="s">
        <v>587</v>
      </c>
      <c r="C87" s="292"/>
      <c r="D87" s="863">
        <v>462905724</v>
      </c>
      <c r="E87" s="335"/>
      <c r="F87" s="293"/>
      <c r="G87" s="294"/>
      <c r="H87" s="295"/>
      <c r="I87" s="293"/>
      <c r="J87" s="293"/>
      <c r="K87" s="296"/>
      <c r="L87" s="249">
        <v>0</v>
      </c>
      <c r="M87" s="296"/>
      <c r="N87" s="297"/>
      <c r="O87" s="296"/>
      <c r="P87" s="296"/>
      <c r="Q87" s="827"/>
      <c r="R87" s="296"/>
    </row>
    <row r="88" spans="1:18" s="298" customFormat="1" ht="75">
      <c r="A88" s="290"/>
      <c r="B88" s="831" t="s">
        <v>1606</v>
      </c>
      <c r="C88" s="864"/>
      <c r="D88" s="833">
        <v>40029612</v>
      </c>
      <c r="E88" s="335" t="s">
        <v>578</v>
      </c>
      <c r="F88" s="865"/>
      <c r="G88" s="831" t="s">
        <v>1606</v>
      </c>
      <c r="H88" s="833">
        <v>40029612</v>
      </c>
      <c r="I88" s="866">
        <v>42127</v>
      </c>
      <c r="J88" s="835">
        <v>42137</v>
      </c>
      <c r="K88" s="867"/>
      <c r="L88" s="267"/>
      <c r="M88" s="296"/>
      <c r="N88" s="833">
        <v>40029612</v>
      </c>
      <c r="O88" s="296"/>
      <c r="P88" s="296"/>
      <c r="Q88" s="827">
        <v>1</v>
      </c>
      <c r="R88" s="296"/>
    </row>
    <row r="89" spans="1:18" s="298" customFormat="1" ht="165">
      <c r="A89" s="290"/>
      <c r="B89" s="447" t="s">
        <v>1607</v>
      </c>
      <c r="C89" s="864"/>
      <c r="D89" s="825">
        <v>19957980</v>
      </c>
      <c r="E89" s="335" t="s">
        <v>578</v>
      </c>
      <c r="F89" s="865"/>
      <c r="G89" s="447" t="s">
        <v>1607</v>
      </c>
      <c r="H89" s="825">
        <v>19957980</v>
      </c>
      <c r="I89" s="866">
        <v>42127</v>
      </c>
      <c r="J89" s="826">
        <v>42159</v>
      </c>
      <c r="K89" s="867"/>
      <c r="L89" s="249"/>
      <c r="M89" s="296"/>
      <c r="N89" s="825">
        <v>19957980</v>
      </c>
      <c r="O89" s="296"/>
      <c r="P89" s="296"/>
      <c r="Q89" s="827">
        <v>1</v>
      </c>
      <c r="R89" s="296"/>
    </row>
    <row r="90" spans="1:18" s="298" customFormat="1" ht="75">
      <c r="A90" s="290"/>
      <c r="B90" s="447" t="s">
        <v>1608</v>
      </c>
      <c r="C90" s="864"/>
      <c r="D90" s="825">
        <v>127383822</v>
      </c>
      <c r="E90" s="335" t="s">
        <v>584</v>
      </c>
      <c r="F90" s="865"/>
      <c r="G90" s="447" t="s">
        <v>1608</v>
      </c>
      <c r="H90" s="825">
        <v>127383822</v>
      </c>
      <c r="I90" s="866">
        <v>42136</v>
      </c>
      <c r="J90" s="826">
        <v>42167</v>
      </c>
      <c r="K90" s="867"/>
      <c r="L90" s="249"/>
      <c r="M90" s="296"/>
      <c r="N90" s="825">
        <v>127383822</v>
      </c>
      <c r="O90" s="296"/>
      <c r="P90" s="296"/>
      <c r="Q90" s="827">
        <v>1</v>
      </c>
      <c r="R90" s="296"/>
    </row>
    <row r="91" spans="1:18" s="298" customFormat="1" ht="75">
      <c r="A91" s="290"/>
      <c r="B91" s="447" t="s">
        <v>1609</v>
      </c>
      <c r="C91" s="864"/>
      <c r="D91" s="825">
        <v>28122263</v>
      </c>
      <c r="E91" s="335" t="s">
        <v>580</v>
      </c>
      <c r="F91" s="865"/>
      <c r="G91" s="447" t="s">
        <v>1609</v>
      </c>
      <c r="H91" s="825">
        <v>28122263</v>
      </c>
      <c r="I91" s="866">
        <v>42180</v>
      </c>
      <c r="J91" s="826">
        <v>42193</v>
      </c>
      <c r="K91" s="867"/>
      <c r="L91" s="249"/>
      <c r="M91" s="296"/>
      <c r="N91" s="825">
        <v>28122263</v>
      </c>
      <c r="O91" s="296"/>
      <c r="P91" s="296"/>
      <c r="Q91" s="827">
        <v>1</v>
      </c>
      <c r="R91" s="296"/>
    </row>
    <row r="92" spans="1:18" s="298" customFormat="1" ht="75">
      <c r="A92" s="290"/>
      <c r="B92" s="447" t="s">
        <v>1610</v>
      </c>
      <c r="C92" s="864"/>
      <c r="D92" s="825">
        <v>112914908</v>
      </c>
      <c r="E92" s="335" t="s">
        <v>583</v>
      </c>
      <c r="F92" s="865"/>
      <c r="G92" s="447" t="s">
        <v>1610</v>
      </c>
      <c r="H92" s="825">
        <v>112914908</v>
      </c>
      <c r="I92" s="826">
        <v>42193</v>
      </c>
      <c r="J92" s="826">
        <v>42240</v>
      </c>
      <c r="K92" s="867"/>
      <c r="L92" s="249"/>
      <c r="M92" s="296"/>
      <c r="N92" s="825">
        <v>112914908</v>
      </c>
      <c r="O92" s="296"/>
      <c r="P92" s="296"/>
      <c r="Q92" s="827">
        <v>1</v>
      </c>
      <c r="R92" s="296"/>
    </row>
    <row r="93" spans="1:18" s="298" customFormat="1" ht="75">
      <c r="A93" s="290"/>
      <c r="B93" s="447" t="s">
        <v>1611</v>
      </c>
      <c r="C93" s="864"/>
      <c r="D93" s="825">
        <v>118703408</v>
      </c>
      <c r="E93" s="335" t="s">
        <v>580</v>
      </c>
      <c r="F93" s="865"/>
      <c r="G93" s="447" t="s">
        <v>1611</v>
      </c>
      <c r="H93" s="825">
        <v>118703408</v>
      </c>
      <c r="I93" s="826">
        <v>42193</v>
      </c>
      <c r="J93" s="826">
        <v>42247</v>
      </c>
      <c r="K93" s="867"/>
      <c r="L93" s="249"/>
      <c r="M93" s="296"/>
      <c r="N93" s="825">
        <v>118703408</v>
      </c>
      <c r="O93" s="296"/>
      <c r="P93" s="296"/>
      <c r="Q93" s="827">
        <v>1</v>
      </c>
      <c r="R93" s="296"/>
    </row>
    <row r="94" spans="1:18" s="298" customFormat="1" ht="105">
      <c r="A94" s="290"/>
      <c r="B94" s="447" t="s">
        <v>1612</v>
      </c>
      <c r="C94" s="864"/>
      <c r="D94" s="825">
        <v>14005248</v>
      </c>
      <c r="E94" s="335" t="s">
        <v>581</v>
      </c>
      <c r="F94" s="865"/>
      <c r="G94" s="447" t="s">
        <v>1612</v>
      </c>
      <c r="H94" s="825">
        <v>14005248</v>
      </c>
      <c r="I94" s="865"/>
      <c r="J94" s="826">
        <v>42277</v>
      </c>
      <c r="K94" s="867"/>
      <c r="L94" s="249"/>
      <c r="M94" s="296"/>
      <c r="N94" s="825">
        <v>14005248</v>
      </c>
      <c r="O94" s="296"/>
      <c r="P94" s="296"/>
      <c r="Q94" s="827">
        <v>1</v>
      </c>
      <c r="R94" s="296"/>
    </row>
    <row r="95" spans="1:18" s="298" customFormat="1" ht="135">
      <c r="A95" s="290"/>
      <c r="B95" s="447" t="s">
        <v>1613</v>
      </c>
      <c r="C95" s="864"/>
      <c r="D95" s="825">
        <v>48000000</v>
      </c>
      <c r="E95" s="335" t="s">
        <v>580</v>
      </c>
      <c r="F95" s="865"/>
      <c r="G95" s="447" t="s">
        <v>1613</v>
      </c>
      <c r="H95" s="825">
        <v>48000000</v>
      </c>
      <c r="I95" s="865"/>
      <c r="J95" s="826">
        <v>42292</v>
      </c>
      <c r="K95" s="867"/>
      <c r="L95" s="249"/>
      <c r="M95" s="296"/>
      <c r="N95" s="825">
        <v>48000000</v>
      </c>
      <c r="O95" s="296"/>
      <c r="P95" s="296"/>
      <c r="Q95" s="827">
        <v>1</v>
      </c>
      <c r="R95" s="296"/>
    </row>
    <row r="96" spans="1:18" s="298" customFormat="1" ht="120">
      <c r="A96" s="290"/>
      <c r="B96" s="447" t="s">
        <v>1614</v>
      </c>
      <c r="C96" s="864"/>
      <c r="D96" s="825">
        <v>60179947</v>
      </c>
      <c r="E96" s="335" t="s">
        <v>584</v>
      </c>
      <c r="F96" s="865"/>
      <c r="G96" s="447" t="s">
        <v>1614</v>
      </c>
      <c r="H96" s="825">
        <v>60179947</v>
      </c>
      <c r="I96" s="865"/>
      <c r="J96" s="826">
        <v>42347</v>
      </c>
      <c r="K96" s="867"/>
      <c r="L96" s="249"/>
      <c r="M96" s="296"/>
      <c r="N96" s="825">
        <v>60179947</v>
      </c>
      <c r="O96" s="296"/>
      <c r="P96" s="296"/>
      <c r="Q96" s="827">
        <v>1</v>
      </c>
      <c r="R96" s="296"/>
    </row>
    <row r="97" spans="1:24" s="298" customFormat="1" ht="120">
      <c r="A97" s="290"/>
      <c r="B97" s="447" t="s">
        <v>1615</v>
      </c>
      <c r="C97" s="864"/>
      <c r="D97" s="825">
        <v>56208492</v>
      </c>
      <c r="E97" s="335" t="s">
        <v>583</v>
      </c>
      <c r="F97" s="865"/>
      <c r="G97" s="447" t="s">
        <v>1615</v>
      </c>
      <c r="H97" s="825">
        <v>56208492</v>
      </c>
      <c r="I97" s="865"/>
      <c r="J97" s="826">
        <v>42348</v>
      </c>
      <c r="K97" s="867"/>
      <c r="L97" s="249"/>
      <c r="M97" s="296"/>
      <c r="N97" s="825">
        <v>56208492</v>
      </c>
      <c r="O97" s="296"/>
      <c r="P97" s="296"/>
      <c r="Q97" s="827">
        <v>1</v>
      </c>
      <c r="R97" s="296"/>
    </row>
    <row r="98" spans="1:24" s="877" customFormat="1" ht="45">
      <c r="A98" s="868">
        <v>113608003000018</v>
      </c>
      <c r="B98" s="869" t="s">
        <v>588</v>
      </c>
      <c r="C98" s="870"/>
      <c r="D98" s="870">
        <v>835774231</v>
      </c>
      <c r="E98" s="335"/>
      <c r="F98" s="871"/>
      <c r="G98" s="872"/>
      <c r="H98" s="873"/>
      <c r="I98" s="871"/>
      <c r="J98" s="871"/>
      <c r="K98" s="874"/>
      <c r="L98" s="249">
        <v>0</v>
      </c>
      <c r="M98" s="874"/>
      <c r="N98" s="875"/>
      <c r="O98" s="876"/>
      <c r="P98" s="876"/>
      <c r="Q98" s="827">
        <v>1</v>
      </c>
      <c r="R98" s="876"/>
    </row>
    <row r="99" spans="1:24" s="836" customFormat="1" ht="165">
      <c r="A99" s="849"/>
      <c r="B99" s="831" t="s">
        <v>1616</v>
      </c>
      <c r="D99" s="833">
        <v>15672787</v>
      </c>
      <c r="E99" s="335" t="s">
        <v>168</v>
      </c>
      <c r="F99" s="850"/>
      <c r="G99" s="831" t="s">
        <v>1616</v>
      </c>
      <c r="H99" s="833">
        <v>15672787</v>
      </c>
      <c r="I99" s="878">
        <v>42125</v>
      </c>
      <c r="J99" s="835">
        <v>42137</v>
      </c>
      <c r="K99" s="850"/>
      <c r="L99" s="267"/>
      <c r="M99" s="850"/>
      <c r="N99" s="833">
        <v>15672787</v>
      </c>
      <c r="O99" s="850"/>
      <c r="P99" s="850"/>
      <c r="Q99" s="827">
        <v>1</v>
      </c>
      <c r="R99" s="850"/>
      <c r="S99" s="850"/>
      <c r="T99" s="850"/>
      <c r="U99" s="850"/>
      <c r="V99" s="850"/>
      <c r="W99" s="850"/>
      <c r="X99" s="850"/>
    </row>
    <row r="100" spans="1:24" s="836" customFormat="1" ht="75">
      <c r="A100" s="849"/>
      <c r="B100" s="831" t="s">
        <v>1617</v>
      </c>
      <c r="D100" s="833">
        <v>47990942</v>
      </c>
      <c r="E100" s="335" t="s">
        <v>580</v>
      </c>
      <c r="F100" s="850"/>
      <c r="G100" s="831" t="s">
        <v>1617</v>
      </c>
      <c r="H100" s="833">
        <v>47990942</v>
      </c>
      <c r="I100" s="878">
        <v>42156</v>
      </c>
      <c r="J100" s="835">
        <v>42166</v>
      </c>
      <c r="K100" s="850"/>
      <c r="L100" s="267"/>
      <c r="M100" s="850"/>
      <c r="N100" s="833">
        <v>47990942</v>
      </c>
      <c r="O100" s="850"/>
      <c r="P100" s="850"/>
      <c r="Q100" s="827">
        <v>1</v>
      </c>
      <c r="R100" s="850"/>
      <c r="S100" s="850"/>
      <c r="T100" s="850"/>
      <c r="U100" s="850"/>
      <c r="V100" s="850"/>
      <c r="W100" s="850"/>
      <c r="X100" s="850"/>
    </row>
    <row r="101" spans="1:24" s="836" customFormat="1" ht="150">
      <c r="A101" s="849"/>
      <c r="B101" s="831" t="s">
        <v>1618</v>
      </c>
      <c r="D101" s="833">
        <v>23879504</v>
      </c>
      <c r="E101" s="335" t="s">
        <v>580</v>
      </c>
      <c r="F101" s="850"/>
      <c r="G101" s="831" t="s">
        <v>1618</v>
      </c>
      <c r="H101" s="833">
        <v>23879504</v>
      </c>
      <c r="I101" s="878">
        <v>42156</v>
      </c>
      <c r="J101" s="835">
        <v>42172</v>
      </c>
      <c r="K101" s="850"/>
      <c r="L101" s="267"/>
      <c r="M101" s="850"/>
      <c r="N101" s="833">
        <v>23879504</v>
      </c>
      <c r="O101" s="850"/>
      <c r="P101" s="850"/>
      <c r="Q101" s="827">
        <v>1</v>
      </c>
      <c r="R101" s="850"/>
      <c r="S101" s="850"/>
      <c r="T101" s="850"/>
      <c r="U101" s="850"/>
      <c r="V101" s="850"/>
      <c r="W101" s="850"/>
      <c r="X101" s="850"/>
    </row>
    <row r="102" spans="1:24" s="836" customFormat="1" ht="30">
      <c r="A102" s="849"/>
      <c r="B102" s="831" t="s">
        <v>1619</v>
      </c>
      <c r="D102" s="850">
        <v>120429872</v>
      </c>
      <c r="E102" s="335" t="s">
        <v>578</v>
      </c>
      <c r="F102" s="850"/>
      <c r="G102" s="831" t="s">
        <v>1619</v>
      </c>
      <c r="H102" s="850">
        <v>120428872</v>
      </c>
      <c r="I102" s="878">
        <v>42156</v>
      </c>
      <c r="J102" s="834">
        <v>42173</v>
      </c>
      <c r="K102" s="850"/>
      <c r="L102" s="267"/>
      <c r="M102" s="850"/>
      <c r="N102" s="850">
        <v>120428872</v>
      </c>
      <c r="O102" s="850"/>
      <c r="P102" s="850"/>
      <c r="Q102" s="827">
        <v>1</v>
      </c>
      <c r="R102" s="850"/>
      <c r="S102" s="850"/>
      <c r="T102" s="850"/>
      <c r="U102" s="850"/>
      <c r="V102" s="850"/>
      <c r="W102" s="850"/>
      <c r="X102" s="850"/>
    </row>
    <row r="103" spans="1:24" s="836" customFormat="1" ht="75">
      <c r="A103" s="849"/>
      <c r="B103" s="831" t="s">
        <v>1620</v>
      </c>
      <c r="D103" s="833">
        <v>125552765</v>
      </c>
      <c r="E103" s="335" t="s">
        <v>582</v>
      </c>
      <c r="F103" s="850"/>
      <c r="G103" s="831" t="s">
        <v>1620</v>
      </c>
      <c r="H103" s="833">
        <v>125552765</v>
      </c>
      <c r="I103" s="878">
        <v>42156</v>
      </c>
      <c r="J103" s="835">
        <v>42206</v>
      </c>
      <c r="K103" s="854"/>
      <c r="L103" s="267"/>
      <c r="M103" s="850"/>
      <c r="N103" s="833">
        <v>125552765</v>
      </c>
      <c r="O103" s="850"/>
      <c r="P103" s="850"/>
      <c r="Q103" s="827">
        <v>1</v>
      </c>
      <c r="R103" s="850"/>
      <c r="S103" s="850"/>
      <c r="T103" s="850"/>
      <c r="U103" s="850"/>
      <c r="V103" s="850"/>
      <c r="W103" s="850"/>
      <c r="X103" s="850"/>
    </row>
    <row r="104" spans="1:24" s="836" customFormat="1" ht="60">
      <c r="A104" s="849"/>
      <c r="B104" s="831" t="s">
        <v>1621</v>
      </c>
      <c r="D104" s="833">
        <v>70299352</v>
      </c>
      <c r="E104" s="335" t="s">
        <v>1622</v>
      </c>
      <c r="F104" s="850"/>
      <c r="G104" s="831" t="s">
        <v>1621</v>
      </c>
      <c r="H104" s="833">
        <v>70299352</v>
      </c>
      <c r="I104" s="878">
        <v>42218</v>
      </c>
      <c r="J104" s="835">
        <v>42243</v>
      </c>
      <c r="K104" s="850"/>
      <c r="L104" s="267"/>
      <c r="M104" s="850"/>
      <c r="N104" s="833">
        <v>70299352</v>
      </c>
      <c r="O104" s="850"/>
      <c r="P104" s="850"/>
      <c r="Q104" s="827">
        <v>1</v>
      </c>
      <c r="R104" s="850"/>
      <c r="S104" s="850"/>
      <c r="T104" s="850"/>
      <c r="U104" s="850"/>
      <c r="V104" s="850"/>
      <c r="W104" s="850"/>
      <c r="X104" s="850"/>
    </row>
    <row r="105" spans="1:24" s="836" customFormat="1" ht="75">
      <c r="A105" s="849"/>
      <c r="B105" s="831" t="s">
        <v>1623</v>
      </c>
      <c r="D105" s="833">
        <v>122405409</v>
      </c>
      <c r="E105" s="335" t="s">
        <v>618</v>
      </c>
      <c r="F105" s="850"/>
      <c r="G105" s="831" t="s">
        <v>1623</v>
      </c>
      <c r="H105" s="833">
        <v>122405409</v>
      </c>
      <c r="I105" s="878">
        <v>42218</v>
      </c>
      <c r="J105" s="835">
        <v>42243</v>
      </c>
      <c r="K105" s="850"/>
      <c r="L105" s="267"/>
      <c r="M105" s="850"/>
      <c r="N105" s="833">
        <v>122405409</v>
      </c>
      <c r="O105" s="850"/>
      <c r="P105" s="850"/>
      <c r="Q105" s="827">
        <v>1</v>
      </c>
      <c r="R105" s="850"/>
      <c r="S105" s="850"/>
      <c r="T105" s="850"/>
      <c r="U105" s="850"/>
      <c r="V105" s="850"/>
      <c r="W105" s="850"/>
      <c r="X105" s="850"/>
    </row>
    <row r="106" spans="1:24" s="836" customFormat="1" ht="119.25" customHeight="1">
      <c r="A106" s="849"/>
      <c r="B106" s="831" t="s">
        <v>1624</v>
      </c>
      <c r="D106" s="833">
        <v>57360000</v>
      </c>
      <c r="E106" s="335" t="s">
        <v>578</v>
      </c>
      <c r="F106" s="850"/>
      <c r="G106" s="831" t="s">
        <v>1624</v>
      </c>
      <c r="H106" s="833">
        <v>57360000</v>
      </c>
      <c r="I106" s="878">
        <v>42248</v>
      </c>
      <c r="J106" s="835">
        <v>42277</v>
      </c>
      <c r="K106" s="850"/>
      <c r="L106" s="267"/>
      <c r="M106" s="850"/>
      <c r="N106" s="833">
        <v>57360000</v>
      </c>
      <c r="O106" s="850"/>
      <c r="P106" s="850"/>
      <c r="Q106" s="827">
        <v>1</v>
      </c>
      <c r="R106" s="850"/>
      <c r="S106" s="850"/>
      <c r="T106" s="850"/>
      <c r="U106" s="850"/>
      <c r="V106" s="850"/>
      <c r="W106" s="850"/>
      <c r="X106" s="850"/>
    </row>
    <row r="107" spans="1:24" s="836" customFormat="1" ht="75">
      <c r="A107" s="849"/>
      <c r="B107" s="831" t="s">
        <v>1625</v>
      </c>
      <c r="C107" s="833"/>
      <c r="D107" s="833">
        <v>61107350</v>
      </c>
      <c r="E107" s="335" t="s">
        <v>577</v>
      </c>
      <c r="F107" s="850"/>
      <c r="G107" s="831" t="s">
        <v>1626</v>
      </c>
      <c r="H107" s="833">
        <v>46514802</v>
      </c>
      <c r="I107" s="878">
        <v>42248</v>
      </c>
      <c r="J107" s="835">
        <v>42347</v>
      </c>
      <c r="K107" s="850"/>
      <c r="L107" s="267"/>
      <c r="M107" s="850"/>
      <c r="N107" s="833">
        <v>46514802</v>
      </c>
      <c r="O107" s="850"/>
      <c r="P107" s="850"/>
      <c r="Q107" s="827">
        <v>1</v>
      </c>
      <c r="R107" s="850"/>
      <c r="S107" s="850"/>
      <c r="T107" s="850"/>
      <c r="U107" s="850"/>
      <c r="V107" s="850"/>
      <c r="W107" s="850"/>
      <c r="X107" s="850"/>
    </row>
    <row r="108" spans="1:24" s="836" customFormat="1" ht="45">
      <c r="A108" s="849"/>
      <c r="B108" s="831" t="s">
        <v>1627</v>
      </c>
      <c r="C108" s="833"/>
      <c r="D108" s="833">
        <v>62327228</v>
      </c>
      <c r="E108" s="335" t="s">
        <v>582</v>
      </c>
      <c r="F108" s="850"/>
      <c r="G108" s="831" t="s">
        <v>1627</v>
      </c>
      <c r="H108" s="833"/>
      <c r="I108" s="850"/>
      <c r="J108" s="835"/>
      <c r="K108" s="850"/>
      <c r="L108" s="267"/>
      <c r="M108" s="850"/>
      <c r="N108" s="833"/>
      <c r="O108" s="850"/>
      <c r="P108" s="850"/>
      <c r="Q108" s="827">
        <v>1</v>
      </c>
      <c r="R108" s="850"/>
      <c r="S108" s="850"/>
      <c r="T108" s="850"/>
      <c r="U108" s="850"/>
      <c r="V108" s="850"/>
      <c r="W108" s="850"/>
      <c r="X108" s="850"/>
    </row>
    <row r="109" spans="1:24" s="836" customFormat="1" ht="90">
      <c r="A109" s="849"/>
      <c r="B109" s="831" t="s">
        <v>1628</v>
      </c>
      <c r="C109" s="832"/>
      <c r="D109" s="833">
        <v>35105748</v>
      </c>
      <c r="E109" s="335" t="s">
        <v>581</v>
      </c>
      <c r="F109" s="850"/>
      <c r="G109" s="831" t="s">
        <v>1628</v>
      </c>
      <c r="H109" s="833">
        <v>35105748</v>
      </c>
      <c r="I109" s="850"/>
      <c r="J109" s="835">
        <v>42353</v>
      </c>
      <c r="K109" s="850"/>
      <c r="L109" s="267"/>
      <c r="M109" s="850"/>
      <c r="N109" s="833">
        <v>35105748</v>
      </c>
      <c r="O109" s="850"/>
      <c r="P109" s="850"/>
      <c r="Q109" s="827">
        <v>1</v>
      </c>
      <c r="R109" s="850"/>
      <c r="S109" s="850"/>
      <c r="T109" s="850"/>
      <c r="U109" s="850"/>
      <c r="V109" s="850"/>
      <c r="W109" s="850"/>
      <c r="X109" s="850"/>
    </row>
    <row r="110" spans="1:24" s="836" customFormat="1" ht="150">
      <c r="A110" s="849"/>
      <c r="B110" s="831" t="s">
        <v>1629</v>
      </c>
      <c r="D110" s="833">
        <v>23125357</v>
      </c>
      <c r="E110" s="335" t="s">
        <v>170</v>
      </c>
      <c r="F110" s="850"/>
      <c r="G110" s="831" t="s">
        <v>1629</v>
      </c>
      <c r="H110" s="833">
        <v>23125357</v>
      </c>
      <c r="I110" s="850"/>
      <c r="J110" s="835">
        <v>42354</v>
      </c>
      <c r="K110" s="850"/>
      <c r="L110" s="267"/>
      <c r="M110" s="850"/>
      <c r="N110" s="833">
        <v>23125357</v>
      </c>
      <c r="O110" s="850"/>
      <c r="P110" s="850"/>
      <c r="Q110" s="827">
        <v>1</v>
      </c>
      <c r="R110" s="850"/>
      <c r="S110" s="850"/>
      <c r="T110" s="850"/>
      <c r="U110" s="850"/>
      <c r="V110" s="850"/>
      <c r="W110" s="850"/>
      <c r="X110" s="850"/>
    </row>
    <row r="111" spans="1:24" s="836" customFormat="1" ht="105">
      <c r="A111" s="849"/>
      <c r="B111" s="831" t="s">
        <v>1630</v>
      </c>
      <c r="D111" s="833">
        <v>39728100</v>
      </c>
      <c r="E111" s="335" t="s">
        <v>584</v>
      </c>
      <c r="F111" s="850"/>
      <c r="G111" s="831" t="s">
        <v>1630</v>
      </c>
      <c r="H111" s="833">
        <v>39728100</v>
      </c>
      <c r="I111" s="878">
        <v>42339</v>
      </c>
      <c r="J111" s="835">
        <v>42355</v>
      </c>
      <c r="K111" s="850"/>
      <c r="L111" s="267"/>
      <c r="M111" s="850"/>
      <c r="N111" s="833">
        <v>39728100</v>
      </c>
      <c r="O111" s="850"/>
      <c r="P111" s="850"/>
      <c r="Q111" s="827">
        <v>1</v>
      </c>
      <c r="R111" s="850"/>
      <c r="S111" s="850"/>
      <c r="T111" s="850"/>
      <c r="U111" s="850"/>
      <c r="V111" s="850"/>
      <c r="W111" s="850"/>
      <c r="X111" s="850"/>
    </row>
    <row r="112" spans="1:24" ht="75">
      <c r="A112" s="241">
        <v>113608119</v>
      </c>
      <c r="B112" s="242" t="s">
        <v>589</v>
      </c>
      <c r="C112" s="243"/>
      <c r="D112" s="243">
        <v>477512729</v>
      </c>
      <c r="E112" s="335"/>
      <c r="F112" s="247"/>
      <c r="G112" s="245"/>
      <c r="H112" s="246"/>
      <c r="I112" s="247"/>
      <c r="J112" s="247"/>
      <c r="K112" s="248"/>
      <c r="L112" s="249">
        <v>0</v>
      </c>
      <c r="M112" s="248"/>
      <c r="N112" s="250"/>
      <c r="O112" s="72"/>
      <c r="P112" s="72"/>
      <c r="Q112" s="827">
        <v>1</v>
      </c>
      <c r="R112" s="72"/>
    </row>
    <row r="113" spans="1:18" ht="30">
      <c r="A113" s="241">
        <v>113608119000001</v>
      </c>
      <c r="B113" s="242" t="s">
        <v>225</v>
      </c>
      <c r="C113" s="243"/>
      <c r="D113" s="243">
        <v>146057692</v>
      </c>
      <c r="E113" s="335"/>
      <c r="F113" s="247"/>
      <c r="G113" s="245"/>
      <c r="H113" s="246"/>
      <c r="I113" s="247"/>
      <c r="J113" s="247"/>
      <c r="K113" s="248"/>
      <c r="L113" s="249">
        <v>0</v>
      </c>
      <c r="M113" s="248"/>
      <c r="N113" s="250"/>
      <c r="O113" s="72"/>
      <c r="P113" s="72"/>
      <c r="Q113" s="827">
        <v>1</v>
      </c>
      <c r="R113" s="72"/>
    </row>
    <row r="114" spans="1:18" s="836" customFormat="1" ht="105">
      <c r="A114" s="849"/>
      <c r="B114" s="831" t="s">
        <v>1631</v>
      </c>
      <c r="C114" s="272"/>
      <c r="D114" s="833">
        <v>16339760</v>
      </c>
      <c r="E114" s="335" t="s">
        <v>170</v>
      </c>
      <c r="F114" s="263"/>
      <c r="G114" s="831" t="s">
        <v>1631</v>
      </c>
      <c r="H114" s="833">
        <v>16339760</v>
      </c>
      <c r="I114" s="829">
        <v>42125</v>
      </c>
      <c r="J114" s="835">
        <v>42137</v>
      </c>
      <c r="K114" s="300"/>
      <c r="L114" s="267"/>
      <c r="M114" s="300"/>
      <c r="N114" s="833">
        <v>16339760</v>
      </c>
      <c r="O114" s="832"/>
      <c r="P114" s="832"/>
      <c r="Q114" s="827">
        <v>1</v>
      </c>
      <c r="R114" s="832"/>
    </row>
    <row r="115" spans="1:18" ht="105">
      <c r="A115" s="241"/>
      <c r="B115" s="447" t="s">
        <v>1632</v>
      </c>
      <c r="C115" s="243"/>
      <c r="D115" s="825">
        <v>39900000</v>
      </c>
      <c r="E115" s="335" t="s">
        <v>170</v>
      </c>
      <c r="F115" s="247"/>
      <c r="G115" s="447" t="s">
        <v>1632</v>
      </c>
      <c r="H115" s="825">
        <v>39900000</v>
      </c>
      <c r="I115" s="837">
        <v>42176</v>
      </c>
      <c r="J115" s="826">
        <v>42206</v>
      </c>
      <c r="K115" s="248"/>
      <c r="L115" s="249"/>
      <c r="M115" s="248"/>
      <c r="N115" s="825">
        <v>39900000</v>
      </c>
      <c r="O115" s="72"/>
      <c r="P115" s="72"/>
      <c r="Q115" s="827">
        <v>1</v>
      </c>
      <c r="R115" s="72"/>
    </row>
    <row r="116" spans="1:18" ht="90">
      <c r="A116" s="241"/>
      <c r="B116" s="447" t="s">
        <v>1633</v>
      </c>
      <c r="C116" s="243"/>
      <c r="D116" s="825">
        <v>23330250</v>
      </c>
      <c r="E116" s="335" t="s">
        <v>580</v>
      </c>
      <c r="F116" s="247"/>
      <c r="G116" s="447" t="s">
        <v>1633</v>
      </c>
      <c r="H116" s="825">
        <v>23330250</v>
      </c>
      <c r="I116" s="826">
        <v>42206</v>
      </c>
      <c r="J116" s="826">
        <v>42222</v>
      </c>
      <c r="K116" s="248"/>
      <c r="L116" s="249"/>
      <c r="M116" s="248"/>
      <c r="N116" s="825">
        <v>23330250</v>
      </c>
      <c r="O116" s="72"/>
      <c r="P116" s="72"/>
      <c r="Q116" s="827">
        <v>1</v>
      </c>
      <c r="R116" s="72"/>
    </row>
    <row r="117" spans="1:18" ht="135">
      <c r="A117" s="241"/>
      <c r="B117" s="447" t="s">
        <v>1634</v>
      </c>
      <c r="C117" s="243"/>
      <c r="D117" s="825">
        <v>11600000</v>
      </c>
      <c r="E117" s="335" t="s">
        <v>580</v>
      </c>
      <c r="F117" s="247"/>
      <c r="G117" s="447" t="s">
        <v>1634</v>
      </c>
      <c r="H117" s="825">
        <v>11600000</v>
      </c>
      <c r="I117" s="826">
        <v>42222</v>
      </c>
      <c r="J117" s="826">
        <v>42255</v>
      </c>
      <c r="K117" s="248"/>
      <c r="L117" s="249"/>
      <c r="M117" s="248"/>
      <c r="N117" s="825">
        <v>11600000</v>
      </c>
      <c r="O117" s="72"/>
      <c r="P117" s="72"/>
      <c r="Q117" s="827">
        <v>1</v>
      </c>
      <c r="R117" s="72"/>
    </row>
    <row r="118" spans="1:18" ht="135">
      <c r="A118" s="241"/>
      <c r="B118" s="447" t="s">
        <v>1635</v>
      </c>
      <c r="C118" s="243"/>
      <c r="D118" s="825">
        <v>19882098</v>
      </c>
      <c r="E118" s="335" t="s">
        <v>578</v>
      </c>
      <c r="F118" s="247"/>
      <c r="G118" s="447" t="s">
        <v>1635</v>
      </c>
      <c r="H118" s="825">
        <v>19882098</v>
      </c>
      <c r="I118" s="826">
        <v>42222</v>
      </c>
      <c r="J118" s="826">
        <v>42255</v>
      </c>
      <c r="K118" s="248"/>
      <c r="L118" s="249"/>
      <c r="M118" s="248"/>
      <c r="N118" s="825">
        <v>19882098</v>
      </c>
      <c r="O118" s="72"/>
      <c r="P118" s="72"/>
      <c r="Q118" s="827">
        <v>1</v>
      </c>
      <c r="R118" s="72"/>
    </row>
    <row r="119" spans="1:18" ht="120">
      <c r="A119" s="241"/>
      <c r="B119" s="447" t="s">
        <v>1636</v>
      </c>
      <c r="C119" s="243"/>
      <c r="D119" s="825">
        <v>15093025</v>
      </c>
      <c r="E119" s="335" t="s">
        <v>170</v>
      </c>
      <c r="F119" s="247"/>
      <c r="G119" s="447" t="s">
        <v>1636</v>
      </c>
      <c r="H119" s="825">
        <v>15093025</v>
      </c>
      <c r="I119" s="826">
        <v>42255</v>
      </c>
      <c r="J119" s="826">
        <v>42305</v>
      </c>
      <c r="K119" s="248"/>
      <c r="L119" s="249"/>
      <c r="M119" s="248"/>
      <c r="N119" s="825">
        <v>15093025</v>
      </c>
      <c r="O119" s="72"/>
      <c r="P119" s="72"/>
      <c r="Q119" s="827">
        <v>1</v>
      </c>
      <c r="R119" s="72"/>
    </row>
    <row r="120" spans="1:18" ht="75">
      <c r="A120" s="241"/>
      <c r="B120" s="447" t="s">
        <v>1637</v>
      </c>
      <c r="C120" s="243"/>
      <c r="D120" s="825">
        <v>7980000</v>
      </c>
      <c r="E120" s="335" t="s">
        <v>585</v>
      </c>
      <c r="F120" s="247"/>
      <c r="G120" s="447" t="s">
        <v>1637</v>
      </c>
      <c r="H120" s="825">
        <v>7980000</v>
      </c>
      <c r="I120" s="837">
        <v>42339</v>
      </c>
      <c r="J120" s="826">
        <v>42354</v>
      </c>
      <c r="K120" s="248"/>
      <c r="L120" s="249"/>
      <c r="M120" s="248"/>
      <c r="N120" s="825">
        <v>7980000</v>
      </c>
      <c r="O120" s="72"/>
      <c r="P120" s="72"/>
      <c r="Q120" s="827">
        <v>1</v>
      </c>
      <c r="R120" s="72"/>
    </row>
    <row r="121" spans="1:18" ht="90">
      <c r="A121" s="241"/>
      <c r="B121" s="447" t="s">
        <v>1638</v>
      </c>
      <c r="C121" s="243"/>
      <c r="D121" s="825">
        <v>11090100</v>
      </c>
      <c r="E121" s="335" t="s">
        <v>170</v>
      </c>
      <c r="F121" s="247"/>
      <c r="G121" s="447" t="s">
        <v>1638</v>
      </c>
      <c r="H121" s="825">
        <v>11090100</v>
      </c>
      <c r="I121" s="837">
        <v>42353</v>
      </c>
      <c r="J121" s="826">
        <v>42366</v>
      </c>
      <c r="K121" s="248"/>
      <c r="L121" s="249"/>
      <c r="M121" s="248"/>
      <c r="N121" s="825">
        <v>11090100</v>
      </c>
      <c r="O121" s="72"/>
      <c r="P121" s="72"/>
      <c r="Q121" s="827">
        <v>1</v>
      </c>
      <c r="R121" s="72"/>
    </row>
    <row r="122" spans="1:18" ht="45">
      <c r="A122" s="241">
        <v>113608119000002</v>
      </c>
      <c r="B122" s="242" t="s">
        <v>590</v>
      </c>
      <c r="C122" s="243"/>
      <c r="D122" s="243">
        <v>0</v>
      </c>
      <c r="E122" s="335"/>
      <c r="F122" s="247"/>
      <c r="G122" s="245"/>
      <c r="H122" s="246"/>
      <c r="I122" s="247"/>
      <c r="J122" s="247"/>
      <c r="K122" s="248"/>
      <c r="L122" s="249">
        <v>0</v>
      </c>
      <c r="M122" s="248"/>
      <c r="N122" s="250"/>
      <c r="O122" s="72"/>
      <c r="P122" s="72"/>
      <c r="Q122" s="827">
        <v>1</v>
      </c>
      <c r="R122" s="72"/>
    </row>
    <row r="123" spans="1:18" ht="45">
      <c r="A123" s="241">
        <v>113608119000003</v>
      </c>
      <c r="B123" s="242" t="s">
        <v>591</v>
      </c>
      <c r="C123" s="243"/>
      <c r="D123" s="243">
        <v>85950299</v>
      </c>
      <c r="E123" s="335"/>
      <c r="F123" s="247"/>
      <c r="G123" s="245"/>
      <c r="H123" s="246"/>
      <c r="I123" s="247"/>
      <c r="J123" s="247"/>
      <c r="K123" s="248"/>
      <c r="L123" s="249">
        <v>0</v>
      </c>
      <c r="M123" s="248"/>
      <c r="N123" s="250"/>
      <c r="O123" s="72"/>
      <c r="P123" s="72"/>
      <c r="Q123" s="827">
        <v>1</v>
      </c>
      <c r="R123" s="72"/>
    </row>
    <row r="124" spans="1:18" ht="180">
      <c r="A124" s="241"/>
      <c r="B124" s="447" t="s">
        <v>1639</v>
      </c>
      <c r="C124" s="243"/>
      <c r="D124" s="825">
        <v>40000000</v>
      </c>
      <c r="E124" s="247" t="s">
        <v>170</v>
      </c>
      <c r="F124" s="247"/>
      <c r="G124" s="447" t="s">
        <v>1639</v>
      </c>
      <c r="H124" s="825">
        <v>40000000</v>
      </c>
      <c r="I124" s="837">
        <v>42040</v>
      </c>
      <c r="J124" s="826">
        <v>42050</v>
      </c>
      <c r="K124" s="248"/>
      <c r="L124" s="249"/>
      <c r="M124" s="248"/>
      <c r="N124" s="825">
        <v>40000000</v>
      </c>
      <c r="O124" s="72"/>
      <c r="P124" s="72"/>
      <c r="Q124" s="827">
        <v>1</v>
      </c>
      <c r="R124" s="72"/>
    </row>
    <row r="125" spans="1:18" ht="150">
      <c r="A125" s="241"/>
      <c r="B125" s="447" t="s">
        <v>1640</v>
      </c>
      <c r="C125" s="243"/>
      <c r="D125" s="825">
        <v>20000000</v>
      </c>
      <c r="E125" s="335" t="s">
        <v>170</v>
      </c>
      <c r="F125" s="247"/>
      <c r="G125" s="447" t="s">
        <v>1640</v>
      </c>
      <c r="H125" s="825">
        <v>20000000</v>
      </c>
      <c r="I125" s="837">
        <v>42045</v>
      </c>
      <c r="J125" s="826">
        <v>42076</v>
      </c>
      <c r="K125" s="248"/>
      <c r="L125" s="249"/>
      <c r="M125" s="248"/>
      <c r="N125" s="825">
        <v>20000000</v>
      </c>
      <c r="O125" s="72"/>
      <c r="P125" s="72"/>
      <c r="Q125" s="827">
        <v>1</v>
      </c>
      <c r="R125" s="72"/>
    </row>
    <row r="126" spans="1:18" ht="180">
      <c r="A126" s="241"/>
      <c r="B126" s="447" t="s">
        <v>1641</v>
      </c>
      <c r="C126" s="243"/>
      <c r="D126" s="825">
        <v>9950299</v>
      </c>
      <c r="E126" s="247" t="s">
        <v>170</v>
      </c>
      <c r="F126" s="247"/>
      <c r="G126" s="447" t="s">
        <v>1641</v>
      </c>
      <c r="H126" s="825">
        <v>9950299</v>
      </c>
      <c r="I126" s="837">
        <v>42125</v>
      </c>
      <c r="J126" s="826">
        <v>42129</v>
      </c>
      <c r="K126" s="248"/>
      <c r="L126" s="249"/>
      <c r="M126" s="248"/>
      <c r="N126" s="825">
        <v>9950299</v>
      </c>
      <c r="O126" s="72"/>
      <c r="P126" s="72"/>
      <c r="Q126" s="827">
        <v>1</v>
      </c>
      <c r="R126" s="72"/>
    </row>
    <row r="127" spans="1:18" ht="195">
      <c r="A127" s="241"/>
      <c r="B127" s="447" t="s">
        <v>1642</v>
      </c>
      <c r="C127" s="243"/>
      <c r="D127" s="825">
        <v>16000000</v>
      </c>
      <c r="E127" s="247" t="s">
        <v>170</v>
      </c>
      <c r="F127" s="247"/>
      <c r="G127" s="447" t="s">
        <v>1642</v>
      </c>
      <c r="H127" s="825">
        <v>16000000</v>
      </c>
      <c r="I127" s="837">
        <v>42125</v>
      </c>
      <c r="J127" s="826">
        <v>42149</v>
      </c>
      <c r="K127" s="248"/>
      <c r="L127" s="249"/>
      <c r="M127" s="248"/>
      <c r="N127" s="825">
        <v>16000000</v>
      </c>
      <c r="O127" s="72"/>
      <c r="P127" s="72"/>
      <c r="Q127" s="827">
        <v>1</v>
      </c>
      <c r="R127" s="72"/>
    </row>
    <row r="128" spans="1:18" ht="32.25" customHeight="1">
      <c r="A128" s="241">
        <v>113608119000005</v>
      </c>
      <c r="B128" s="242" t="s">
        <v>592</v>
      </c>
      <c r="C128" s="243"/>
      <c r="D128" s="243">
        <v>88687238</v>
      </c>
      <c r="E128" s="247"/>
      <c r="F128" s="247"/>
      <c r="G128" s="245"/>
      <c r="H128" s="246"/>
      <c r="I128" s="247"/>
      <c r="J128" s="247"/>
      <c r="K128" s="248"/>
      <c r="L128" s="249"/>
      <c r="M128" s="248"/>
      <c r="N128" s="250"/>
      <c r="O128" s="72"/>
      <c r="P128" s="72"/>
      <c r="Q128" s="827"/>
      <c r="R128" s="72"/>
    </row>
    <row r="129" spans="1:18" s="836" customFormat="1" ht="58.5" customHeight="1">
      <c r="A129" s="849"/>
      <c r="B129" s="831" t="s">
        <v>1643</v>
      </c>
      <c r="C129" s="272"/>
      <c r="D129" s="833">
        <v>24836800</v>
      </c>
      <c r="E129" s="335" t="s">
        <v>167</v>
      </c>
      <c r="F129" s="263"/>
      <c r="G129" s="831" t="s">
        <v>1643</v>
      </c>
      <c r="H129" s="833">
        <v>13202000</v>
      </c>
      <c r="I129" s="829">
        <v>42186</v>
      </c>
      <c r="J129" s="835">
        <v>42206</v>
      </c>
      <c r="K129" s="300"/>
      <c r="L129" s="267"/>
      <c r="M129" s="300"/>
      <c r="N129" s="833">
        <v>13202000</v>
      </c>
      <c r="O129" s="832"/>
      <c r="P129" s="832"/>
      <c r="Q129" s="827">
        <v>1</v>
      </c>
      <c r="R129" s="832"/>
    </row>
    <row r="130" spans="1:18" s="836" customFormat="1" ht="107.25" customHeight="1">
      <c r="A130" s="849"/>
      <c r="B130" s="831" t="s">
        <v>1644</v>
      </c>
      <c r="D130" s="833">
        <v>9050915</v>
      </c>
      <c r="E130" s="335" t="s">
        <v>1645</v>
      </c>
      <c r="F130" s="263"/>
      <c r="G130" s="831" t="s">
        <v>1644</v>
      </c>
      <c r="H130" s="833">
        <v>9050915</v>
      </c>
      <c r="I130" s="829">
        <v>42186</v>
      </c>
      <c r="J130" s="835">
        <v>42206</v>
      </c>
      <c r="K130" s="300"/>
      <c r="L130" s="267"/>
      <c r="M130" s="300"/>
      <c r="N130" s="833">
        <v>9050915</v>
      </c>
      <c r="O130" s="832"/>
      <c r="P130" s="832"/>
      <c r="Q130" s="827">
        <v>1</v>
      </c>
      <c r="R130" s="832"/>
    </row>
    <row r="131" spans="1:18" s="836" customFormat="1" ht="141" customHeight="1">
      <c r="A131" s="849"/>
      <c r="B131" s="831" t="s">
        <v>1646</v>
      </c>
      <c r="C131" s="272"/>
      <c r="D131" s="833">
        <v>13734328</v>
      </c>
      <c r="E131" s="335" t="s">
        <v>170</v>
      </c>
      <c r="F131" s="263"/>
      <c r="G131" s="831" t="s">
        <v>1646</v>
      </c>
      <c r="H131" s="833">
        <v>13734328</v>
      </c>
      <c r="I131" s="829">
        <v>42186</v>
      </c>
      <c r="J131" s="835">
        <v>42206</v>
      </c>
      <c r="K131" s="300"/>
      <c r="L131" s="267"/>
      <c r="M131" s="300"/>
      <c r="N131" s="833">
        <v>13734328</v>
      </c>
      <c r="O131" s="832"/>
      <c r="P131" s="832"/>
      <c r="Q131" s="827">
        <v>1</v>
      </c>
      <c r="R131" s="832"/>
    </row>
    <row r="132" spans="1:18" s="836" customFormat="1" ht="121.5" customHeight="1">
      <c r="A132" s="849"/>
      <c r="B132" s="831" t="s">
        <v>1647</v>
      </c>
      <c r="C132" s="272"/>
      <c r="D132" s="833">
        <v>15535086</v>
      </c>
      <c r="E132" s="335" t="s">
        <v>170</v>
      </c>
      <c r="F132" s="263"/>
      <c r="G132" s="831" t="s">
        <v>1647</v>
      </c>
      <c r="H132" s="833">
        <v>15535086</v>
      </c>
      <c r="I132" s="829">
        <v>42186</v>
      </c>
      <c r="J132" s="835">
        <v>42206</v>
      </c>
      <c r="K132" s="300"/>
      <c r="L132" s="267"/>
      <c r="M132" s="300"/>
      <c r="N132" s="833">
        <v>15535086</v>
      </c>
      <c r="O132" s="832"/>
      <c r="P132" s="832"/>
      <c r="Q132" s="827">
        <v>1</v>
      </c>
      <c r="R132" s="832"/>
    </row>
    <row r="133" spans="1:18" s="836" customFormat="1" ht="93.75" customHeight="1">
      <c r="A133" s="849"/>
      <c r="B133" s="831" t="s">
        <v>1648</v>
      </c>
      <c r="C133" s="272"/>
      <c r="D133" s="833">
        <v>6600000</v>
      </c>
      <c r="E133" s="335" t="s">
        <v>583</v>
      </c>
      <c r="F133" s="263"/>
      <c r="G133" s="831" t="s">
        <v>1648</v>
      </c>
      <c r="H133" s="833">
        <v>6600000</v>
      </c>
      <c r="I133" s="829">
        <v>42238</v>
      </c>
      <c r="J133" s="835">
        <v>42255</v>
      </c>
      <c r="K133" s="300"/>
      <c r="L133" s="267"/>
      <c r="M133" s="300"/>
      <c r="N133" s="833">
        <v>6600000</v>
      </c>
      <c r="O133" s="832"/>
      <c r="P133" s="832"/>
      <c r="Q133" s="827">
        <v>1</v>
      </c>
      <c r="R133" s="832"/>
    </row>
    <row r="134" spans="1:18" s="836" customFormat="1" ht="87.75" customHeight="1">
      <c r="A134" s="849"/>
      <c r="B134" s="831" t="s">
        <v>1649</v>
      </c>
      <c r="C134" s="272"/>
      <c r="D134" s="833">
        <v>16923075</v>
      </c>
      <c r="E134" s="335" t="s">
        <v>621</v>
      </c>
      <c r="F134" s="263"/>
      <c r="G134" s="831" t="s">
        <v>1649</v>
      </c>
      <c r="H134" s="833">
        <v>16923075</v>
      </c>
      <c r="I134" s="829">
        <v>42343</v>
      </c>
      <c r="J134" s="835">
        <v>42354</v>
      </c>
      <c r="K134" s="300"/>
      <c r="L134" s="267"/>
      <c r="M134" s="300"/>
      <c r="N134" s="833">
        <v>16923075</v>
      </c>
      <c r="O134" s="832"/>
      <c r="P134" s="832"/>
      <c r="Q134" s="827">
        <v>1</v>
      </c>
      <c r="R134" s="832"/>
    </row>
    <row r="135" spans="1:18" s="836" customFormat="1" ht="45">
      <c r="A135" s="849">
        <v>1.13608119000006E+16</v>
      </c>
      <c r="B135" s="257" t="s">
        <v>593</v>
      </c>
      <c r="C135" s="272"/>
      <c r="D135" s="272">
        <v>11709630</v>
      </c>
      <c r="E135" s="335"/>
      <c r="F135" s="263"/>
      <c r="G135" s="851"/>
      <c r="H135" s="265"/>
      <c r="I135" s="263"/>
      <c r="J135" s="263"/>
      <c r="K135" s="300"/>
      <c r="L135" s="267">
        <v>0</v>
      </c>
      <c r="M135" s="300"/>
      <c r="N135" s="268"/>
      <c r="O135" s="832"/>
      <c r="P135" s="832"/>
      <c r="Q135" s="827">
        <v>1</v>
      </c>
      <c r="R135" s="832"/>
    </row>
    <row r="136" spans="1:18" s="883" customFormat="1" ht="75">
      <c r="A136" s="879"/>
      <c r="B136" s="831" t="s">
        <v>1650</v>
      </c>
      <c r="C136" s="321"/>
      <c r="D136" s="833">
        <v>7997400</v>
      </c>
      <c r="E136" s="880" t="s">
        <v>170</v>
      </c>
      <c r="F136" s="262"/>
      <c r="G136" s="831" t="s">
        <v>1650</v>
      </c>
      <c r="H136" s="833">
        <v>7997400</v>
      </c>
      <c r="I136" s="881">
        <v>42064</v>
      </c>
      <c r="J136" s="835">
        <v>42076</v>
      </c>
      <c r="K136" s="882"/>
      <c r="L136" s="267">
        <v>0</v>
      </c>
      <c r="M136" s="882"/>
      <c r="N136" s="833">
        <v>7997400</v>
      </c>
      <c r="O136" s="264" t="s">
        <v>594</v>
      </c>
      <c r="P136" s="882"/>
      <c r="Q136" s="827">
        <v>1</v>
      </c>
      <c r="R136" s="882"/>
    </row>
    <row r="137" spans="1:18" s="883" customFormat="1" ht="90">
      <c r="A137" s="879"/>
      <c r="B137" s="447" t="s">
        <v>1651</v>
      </c>
      <c r="C137" s="321"/>
      <c r="D137" s="825">
        <v>3712232</v>
      </c>
      <c r="E137" s="861" t="s">
        <v>274</v>
      </c>
      <c r="F137" s="262"/>
      <c r="G137" s="447" t="s">
        <v>1651</v>
      </c>
      <c r="H137" s="825">
        <v>3712232</v>
      </c>
      <c r="I137" s="881">
        <v>42125</v>
      </c>
      <c r="J137" s="826">
        <v>42139</v>
      </c>
      <c r="K137" s="882"/>
      <c r="L137" s="267">
        <v>0</v>
      </c>
      <c r="M137" s="882"/>
      <c r="N137" s="825">
        <v>3712232</v>
      </c>
      <c r="O137" s="882" t="s">
        <v>574</v>
      </c>
      <c r="P137" s="882"/>
      <c r="Q137" s="827">
        <v>1</v>
      </c>
      <c r="R137" s="882"/>
    </row>
    <row r="138" spans="1:18" ht="60">
      <c r="A138" s="241">
        <v>113608119000009</v>
      </c>
      <c r="B138" s="242" t="s">
        <v>595</v>
      </c>
      <c r="C138" s="243"/>
      <c r="D138" s="243">
        <v>145107870</v>
      </c>
      <c r="E138" s="335"/>
      <c r="F138" s="247"/>
      <c r="G138" s="245"/>
      <c r="H138" s="246"/>
      <c r="I138" s="247"/>
      <c r="J138" s="247"/>
      <c r="K138" s="248"/>
      <c r="L138" s="249">
        <v>0</v>
      </c>
      <c r="M138" s="248"/>
      <c r="N138" s="250"/>
      <c r="O138" s="72"/>
      <c r="P138" s="72"/>
      <c r="Q138" s="827">
        <v>1</v>
      </c>
      <c r="R138" s="72"/>
    </row>
    <row r="139" spans="1:18" s="836" customFormat="1" ht="120">
      <c r="A139" s="849"/>
      <c r="B139" s="831" t="s">
        <v>1652</v>
      </c>
      <c r="C139" s="272"/>
      <c r="D139" s="833">
        <v>46484050</v>
      </c>
      <c r="E139" s="335" t="s">
        <v>1548</v>
      </c>
      <c r="F139" s="263"/>
      <c r="G139" s="831" t="s">
        <v>1652</v>
      </c>
      <c r="H139" s="833">
        <v>46484050</v>
      </c>
      <c r="I139" s="829">
        <v>42036</v>
      </c>
      <c r="J139" s="835">
        <v>42052</v>
      </c>
      <c r="K139" s="300"/>
      <c r="L139" s="267"/>
      <c r="M139" s="300"/>
      <c r="N139" s="833">
        <v>46484050</v>
      </c>
      <c r="O139" s="832"/>
      <c r="P139" s="832"/>
      <c r="Q139" s="827">
        <v>1</v>
      </c>
      <c r="R139" s="832"/>
    </row>
    <row r="140" spans="1:18" s="836" customFormat="1" ht="105">
      <c r="A140" s="849"/>
      <c r="B140" s="831" t="s">
        <v>1653</v>
      </c>
      <c r="C140" s="272"/>
      <c r="D140" s="833">
        <v>7110000</v>
      </c>
      <c r="E140" s="335" t="s">
        <v>170</v>
      </c>
      <c r="F140" s="263"/>
      <c r="G140" s="831" t="s">
        <v>1653</v>
      </c>
      <c r="H140" s="833">
        <v>7110000</v>
      </c>
      <c r="I140" s="829">
        <v>42064</v>
      </c>
      <c r="J140" s="835">
        <v>42108</v>
      </c>
      <c r="K140" s="300"/>
      <c r="L140" s="267"/>
      <c r="M140" s="300"/>
      <c r="N140" s="833">
        <v>7110000</v>
      </c>
      <c r="O140" s="832"/>
      <c r="P140" s="832"/>
      <c r="Q140" s="827">
        <v>1</v>
      </c>
      <c r="R140" s="832"/>
    </row>
    <row r="141" spans="1:18" s="836" customFormat="1" ht="120">
      <c r="A141" s="849"/>
      <c r="B141" s="831" t="s">
        <v>1654</v>
      </c>
      <c r="C141" s="272"/>
      <c r="D141" s="833">
        <v>3553200</v>
      </c>
      <c r="E141" s="335" t="s">
        <v>170</v>
      </c>
      <c r="F141" s="263"/>
      <c r="G141" s="831" t="s">
        <v>1654</v>
      </c>
      <c r="H141" s="833">
        <v>3553200</v>
      </c>
      <c r="I141" s="829">
        <v>42125</v>
      </c>
      <c r="J141" s="835">
        <v>42132</v>
      </c>
      <c r="K141" s="300"/>
      <c r="L141" s="267"/>
      <c r="M141" s="300"/>
      <c r="N141" s="833">
        <v>3553200</v>
      </c>
      <c r="O141" s="832"/>
      <c r="P141" s="832"/>
      <c r="Q141" s="827">
        <v>1</v>
      </c>
      <c r="R141" s="832"/>
    </row>
    <row r="142" spans="1:18" s="836" customFormat="1" ht="90">
      <c r="A142" s="849"/>
      <c r="B142" s="831" t="s">
        <v>1655</v>
      </c>
      <c r="C142" s="272"/>
      <c r="D142" s="833">
        <v>25253200</v>
      </c>
      <c r="E142" s="335" t="s">
        <v>584</v>
      </c>
      <c r="F142" s="263"/>
      <c r="G142" s="831" t="s">
        <v>1655</v>
      </c>
      <c r="H142" s="833">
        <v>25253200</v>
      </c>
      <c r="I142" s="829">
        <v>42156</v>
      </c>
      <c r="J142" s="835">
        <v>42167</v>
      </c>
      <c r="K142" s="300"/>
      <c r="L142" s="267"/>
      <c r="M142" s="300"/>
      <c r="N142" s="833">
        <v>25253200</v>
      </c>
      <c r="O142" s="832"/>
      <c r="P142" s="832"/>
      <c r="Q142" s="827">
        <v>1</v>
      </c>
      <c r="R142" s="832"/>
    </row>
    <row r="143" spans="1:18" s="836" customFormat="1" ht="90">
      <c r="A143" s="849"/>
      <c r="B143" s="831" t="s">
        <v>1656</v>
      </c>
      <c r="C143" s="272"/>
      <c r="D143" s="833">
        <v>22654800</v>
      </c>
      <c r="E143" s="335" t="s">
        <v>583</v>
      </c>
      <c r="F143" s="263"/>
      <c r="G143" s="831" t="s">
        <v>1656</v>
      </c>
      <c r="H143" s="833">
        <v>22654800</v>
      </c>
      <c r="I143" s="829">
        <v>42156</v>
      </c>
      <c r="J143" s="835">
        <v>42167</v>
      </c>
      <c r="K143" s="300"/>
      <c r="L143" s="267"/>
      <c r="M143" s="300"/>
      <c r="N143" s="833">
        <v>22654800</v>
      </c>
      <c r="O143" s="832"/>
      <c r="P143" s="832"/>
      <c r="Q143" s="827">
        <v>1</v>
      </c>
      <c r="R143" s="832"/>
    </row>
    <row r="144" spans="1:18" s="836" customFormat="1" ht="90">
      <c r="A144" s="849"/>
      <c r="B144" s="831" t="s">
        <v>1657</v>
      </c>
      <c r="C144" s="272"/>
      <c r="D144" s="833">
        <v>20266880</v>
      </c>
      <c r="E144" s="335" t="s">
        <v>167</v>
      </c>
      <c r="F144" s="263"/>
      <c r="G144" s="831" t="s">
        <v>1657</v>
      </c>
      <c r="H144" s="833">
        <v>20266880</v>
      </c>
      <c r="I144" s="829">
        <v>42156</v>
      </c>
      <c r="J144" s="835">
        <v>42167</v>
      </c>
      <c r="K144" s="300"/>
      <c r="L144" s="267"/>
      <c r="M144" s="300"/>
      <c r="N144" s="833">
        <v>20266880</v>
      </c>
      <c r="O144" s="832"/>
      <c r="P144" s="832"/>
      <c r="Q144" s="827">
        <v>1</v>
      </c>
      <c r="R144" s="832"/>
    </row>
    <row r="145" spans="1:18" s="836" customFormat="1" ht="90">
      <c r="A145" s="849"/>
      <c r="B145" s="831" t="s">
        <v>1658</v>
      </c>
      <c r="C145" s="272"/>
      <c r="D145" s="833">
        <v>15056800</v>
      </c>
      <c r="E145" s="335" t="s">
        <v>582</v>
      </c>
      <c r="F145" s="263"/>
      <c r="G145" s="831" t="s">
        <v>1658</v>
      </c>
      <c r="H145" s="833">
        <v>15056800</v>
      </c>
      <c r="I145" s="829">
        <v>42156</v>
      </c>
      <c r="J145" s="835">
        <v>42171</v>
      </c>
      <c r="K145" s="300"/>
      <c r="L145" s="267"/>
      <c r="M145" s="300"/>
      <c r="N145" s="833">
        <v>15056800</v>
      </c>
      <c r="O145" s="832"/>
      <c r="P145" s="832"/>
      <c r="Q145" s="827">
        <v>1</v>
      </c>
      <c r="R145" s="832"/>
    </row>
    <row r="146" spans="1:18" s="836" customFormat="1" ht="195">
      <c r="A146" s="849"/>
      <c r="B146" s="831" t="s">
        <v>1659</v>
      </c>
      <c r="C146" s="272"/>
      <c r="D146" s="833">
        <v>4728938</v>
      </c>
      <c r="E146" s="263" t="s">
        <v>170</v>
      </c>
      <c r="F146" s="263"/>
      <c r="G146" s="831" t="s">
        <v>1659</v>
      </c>
      <c r="H146" s="833">
        <v>4728938</v>
      </c>
      <c r="I146" s="829">
        <v>42241</v>
      </c>
      <c r="J146" s="835">
        <v>42249</v>
      </c>
      <c r="K146" s="300"/>
      <c r="L146" s="267"/>
      <c r="M146" s="300"/>
      <c r="N146" s="833">
        <v>4728938</v>
      </c>
      <c r="O146" s="832"/>
      <c r="P146" s="832"/>
      <c r="Q146" s="827">
        <v>1</v>
      </c>
      <c r="R146" s="832"/>
    </row>
    <row r="147" spans="1:18" s="240" customFormat="1" ht="60">
      <c r="A147" s="231">
        <v>123</v>
      </c>
      <c r="B147" s="232" t="s">
        <v>596</v>
      </c>
      <c r="C147" s="233"/>
      <c r="D147" s="233">
        <v>481719111</v>
      </c>
      <c r="E147" s="884"/>
      <c r="F147" s="302"/>
      <c r="G147" s="303"/>
      <c r="H147" s="304"/>
      <c r="I147" s="302"/>
      <c r="J147" s="302"/>
      <c r="K147" s="305"/>
      <c r="L147" s="885"/>
      <c r="M147" s="305"/>
      <c r="N147" s="307"/>
      <c r="O147" s="308"/>
      <c r="P147" s="308"/>
      <c r="Q147" s="886"/>
      <c r="R147" s="308"/>
    </row>
    <row r="148" spans="1:18" ht="45">
      <c r="A148" s="241">
        <v>123608001000001</v>
      </c>
      <c r="B148" s="242" t="s">
        <v>597</v>
      </c>
      <c r="C148" s="243"/>
      <c r="D148" s="258">
        <v>531028219</v>
      </c>
      <c r="E148" s="335" t="s">
        <v>170</v>
      </c>
      <c r="F148" s="247"/>
      <c r="G148" s="245"/>
      <c r="H148" s="246"/>
      <c r="I148" s="247"/>
      <c r="J148" s="247"/>
      <c r="K148" s="248"/>
      <c r="L148" s="249">
        <v>0</v>
      </c>
      <c r="M148" s="248"/>
      <c r="N148" s="250"/>
      <c r="O148" s="72"/>
      <c r="P148" s="72"/>
      <c r="Q148" s="827">
        <v>1</v>
      </c>
      <c r="R148" s="72"/>
    </row>
    <row r="149" spans="1:18" s="836" customFormat="1" ht="90">
      <c r="A149" s="849"/>
      <c r="B149" s="831" t="s">
        <v>1660</v>
      </c>
      <c r="C149" s="272"/>
      <c r="D149" s="833">
        <v>29321119</v>
      </c>
      <c r="E149" s="335" t="s">
        <v>170</v>
      </c>
      <c r="F149" s="263"/>
      <c r="G149" s="831" t="s">
        <v>1660</v>
      </c>
      <c r="H149" s="833">
        <v>29321119</v>
      </c>
      <c r="I149" s="826">
        <v>42216</v>
      </c>
      <c r="J149" s="835">
        <v>42193</v>
      </c>
      <c r="K149" s="300"/>
      <c r="L149" s="267"/>
      <c r="M149" s="300"/>
      <c r="N149" s="833">
        <v>29321119</v>
      </c>
      <c r="O149" s="832"/>
      <c r="P149" s="832"/>
      <c r="Q149" s="827">
        <v>1</v>
      </c>
      <c r="R149" s="832"/>
    </row>
    <row r="150" spans="1:18" ht="90">
      <c r="A150" s="241"/>
      <c r="B150" s="447" t="s">
        <v>1661</v>
      </c>
      <c r="C150" s="243"/>
      <c r="D150" s="825">
        <v>87310556</v>
      </c>
      <c r="E150" s="335" t="s">
        <v>169</v>
      </c>
      <c r="F150" s="247"/>
      <c r="G150" s="447" t="s">
        <v>1661</v>
      </c>
      <c r="H150" s="825">
        <v>87310556</v>
      </c>
      <c r="I150" s="837">
        <v>42184</v>
      </c>
      <c r="J150" s="826">
        <v>42216</v>
      </c>
      <c r="K150" s="248"/>
      <c r="L150" s="249"/>
      <c r="M150" s="248"/>
      <c r="N150" s="825">
        <v>87310556</v>
      </c>
      <c r="O150" s="72"/>
      <c r="P150" s="72"/>
      <c r="Q150" s="827">
        <v>1</v>
      </c>
      <c r="R150" s="72"/>
    </row>
    <row r="151" spans="1:18" ht="150">
      <c r="A151" s="241"/>
      <c r="B151" s="447" t="s">
        <v>1662</v>
      </c>
      <c r="C151" s="243"/>
      <c r="D151" s="825">
        <v>18450982</v>
      </c>
      <c r="E151" s="335" t="s">
        <v>1663</v>
      </c>
      <c r="F151" s="247"/>
      <c r="G151" s="447" t="s">
        <v>1662</v>
      </c>
      <c r="H151" s="825">
        <v>18450982</v>
      </c>
      <c r="I151" s="837">
        <v>42203</v>
      </c>
      <c r="J151" s="826">
        <v>42234</v>
      </c>
      <c r="K151" s="248"/>
      <c r="L151" s="249"/>
      <c r="M151" s="248"/>
      <c r="N151" s="825">
        <v>18450982</v>
      </c>
      <c r="O151" s="72"/>
      <c r="P151" s="72"/>
      <c r="Q151" s="827">
        <v>1</v>
      </c>
      <c r="R151" s="72"/>
    </row>
    <row r="152" spans="1:18" ht="75">
      <c r="A152" s="241"/>
      <c r="B152" s="447" t="s">
        <v>1664</v>
      </c>
      <c r="C152" s="243"/>
      <c r="D152" s="825">
        <v>17303095</v>
      </c>
      <c r="E152" s="335" t="s">
        <v>577</v>
      </c>
      <c r="F152" s="247"/>
      <c r="G152" s="447" t="s">
        <v>1664</v>
      </c>
      <c r="H152" s="825">
        <v>17303095</v>
      </c>
      <c r="I152" s="837">
        <v>42203</v>
      </c>
      <c r="J152" s="826">
        <v>42242</v>
      </c>
      <c r="K152" s="248"/>
      <c r="L152" s="249"/>
      <c r="M152" s="248"/>
      <c r="N152" s="825">
        <v>17303095</v>
      </c>
      <c r="O152" s="72"/>
      <c r="P152" s="72"/>
      <c r="Q152" s="827">
        <v>1</v>
      </c>
      <c r="R152" s="72"/>
    </row>
    <row r="153" spans="1:18" ht="75">
      <c r="A153" s="241"/>
      <c r="B153" s="447" t="s">
        <v>1665</v>
      </c>
      <c r="C153" s="243"/>
      <c r="D153" s="825">
        <v>118154736</v>
      </c>
      <c r="E153" s="335" t="s">
        <v>1666</v>
      </c>
      <c r="F153" s="247"/>
      <c r="G153" s="447" t="s">
        <v>1665</v>
      </c>
      <c r="H153" s="825">
        <v>118154736</v>
      </c>
      <c r="I153" s="837">
        <v>42203</v>
      </c>
      <c r="J153" s="826">
        <v>42243</v>
      </c>
      <c r="K153" s="248"/>
      <c r="L153" s="249"/>
      <c r="M153" s="248"/>
      <c r="N153" s="825">
        <v>118154736</v>
      </c>
      <c r="O153" s="72"/>
      <c r="P153" s="72"/>
      <c r="Q153" s="827">
        <v>1</v>
      </c>
      <c r="R153" s="72"/>
    </row>
    <row r="154" spans="1:18" ht="90">
      <c r="A154" s="241"/>
      <c r="B154" s="447" t="s">
        <v>1667</v>
      </c>
      <c r="C154" s="243"/>
      <c r="D154" s="825">
        <v>19222927</v>
      </c>
      <c r="E154" s="335" t="s">
        <v>581</v>
      </c>
      <c r="F154" s="247"/>
      <c r="G154" s="447" t="s">
        <v>1667</v>
      </c>
      <c r="H154" s="825">
        <v>19222927</v>
      </c>
      <c r="I154" s="837">
        <v>42203</v>
      </c>
      <c r="J154" s="826">
        <v>42247</v>
      </c>
      <c r="K154" s="248"/>
      <c r="L154" s="249"/>
      <c r="M154" s="248"/>
      <c r="N154" s="825">
        <v>19222927</v>
      </c>
      <c r="O154" s="72"/>
      <c r="P154" s="72"/>
      <c r="Q154" s="827">
        <v>1</v>
      </c>
      <c r="R154" s="72"/>
    </row>
    <row r="155" spans="1:18" ht="135">
      <c r="A155" s="241"/>
      <c r="B155" s="447" t="s">
        <v>1668</v>
      </c>
      <c r="C155" s="243"/>
      <c r="D155" s="825">
        <v>14522436</v>
      </c>
      <c r="E155" s="335" t="s">
        <v>170</v>
      </c>
      <c r="F155" s="247"/>
      <c r="G155" s="447" t="s">
        <v>1668</v>
      </c>
      <c r="H155" s="825">
        <v>14522436</v>
      </c>
      <c r="I155" s="247"/>
      <c r="J155" s="826">
        <v>42255</v>
      </c>
      <c r="K155" s="248"/>
      <c r="L155" s="249"/>
      <c r="M155" s="248"/>
      <c r="N155" s="825">
        <v>14522436</v>
      </c>
      <c r="O155" s="72"/>
      <c r="P155" s="72"/>
      <c r="Q155" s="827">
        <v>1</v>
      </c>
      <c r="R155" s="72"/>
    </row>
    <row r="156" spans="1:18" ht="195">
      <c r="A156" s="241"/>
      <c r="B156" s="447" t="s">
        <v>1669</v>
      </c>
      <c r="C156" s="243"/>
      <c r="D156" s="825">
        <v>9119488</v>
      </c>
      <c r="E156" s="43" t="s">
        <v>170</v>
      </c>
      <c r="F156" s="247"/>
      <c r="G156" s="447" t="s">
        <v>1669</v>
      </c>
      <c r="H156" s="825">
        <v>9119488</v>
      </c>
      <c r="I156" s="247"/>
      <c r="J156" s="826">
        <v>42255</v>
      </c>
      <c r="K156" s="248"/>
      <c r="L156" s="249"/>
      <c r="M156" s="248"/>
      <c r="N156" s="825">
        <v>9119488</v>
      </c>
      <c r="O156" s="72"/>
      <c r="P156" s="72"/>
      <c r="Q156" s="827">
        <v>1</v>
      </c>
      <c r="R156" s="72"/>
    </row>
    <row r="157" spans="1:18" ht="105">
      <c r="A157" s="241"/>
      <c r="B157" s="447" t="s">
        <v>1670</v>
      </c>
      <c r="C157" s="243"/>
      <c r="D157" s="825">
        <v>7000000</v>
      </c>
      <c r="E157" s="335" t="s">
        <v>577</v>
      </c>
      <c r="F157" s="247"/>
      <c r="G157" s="447" t="s">
        <v>1670</v>
      </c>
      <c r="H157" s="825">
        <v>7000000</v>
      </c>
      <c r="I157" s="247"/>
      <c r="J157" s="826">
        <v>42265</v>
      </c>
      <c r="K157" s="248"/>
      <c r="L157" s="249"/>
      <c r="M157" s="248"/>
      <c r="N157" s="825">
        <v>7000000</v>
      </c>
      <c r="O157" s="72"/>
      <c r="P157" s="72"/>
      <c r="Q157" s="827">
        <v>1</v>
      </c>
      <c r="R157" s="72"/>
    </row>
    <row r="158" spans="1:18" ht="120">
      <c r="A158" s="241"/>
      <c r="B158" s="447" t="s">
        <v>1671</v>
      </c>
      <c r="C158" s="243"/>
      <c r="D158" s="825">
        <v>6000000</v>
      </c>
      <c r="E158" s="335" t="s">
        <v>1569</v>
      </c>
      <c r="F158" s="247"/>
      <c r="G158" s="447" t="s">
        <v>1671</v>
      </c>
      <c r="H158" s="825">
        <v>6000000</v>
      </c>
      <c r="I158" s="247"/>
      <c r="J158" s="826">
        <v>42265</v>
      </c>
      <c r="K158" s="248"/>
      <c r="L158" s="249"/>
      <c r="M158" s="248"/>
      <c r="N158" s="825">
        <v>6000000</v>
      </c>
      <c r="O158" s="72"/>
      <c r="P158" s="72"/>
      <c r="Q158" s="827">
        <v>1</v>
      </c>
      <c r="R158" s="72"/>
    </row>
    <row r="159" spans="1:18" ht="105">
      <c r="A159" s="241"/>
      <c r="B159" s="447" t="s">
        <v>1672</v>
      </c>
      <c r="C159" s="243"/>
      <c r="D159" s="825">
        <v>26693780</v>
      </c>
      <c r="E159" s="335" t="s">
        <v>224</v>
      </c>
      <c r="F159" s="247"/>
      <c r="G159" s="447" t="s">
        <v>1672</v>
      </c>
      <c r="H159" s="825">
        <v>26693780</v>
      </c>
      <c r="I159" s="837">
        <v>42282</v>
      </c>
      <c r="J159" s="826">
        <v>42313</v>
      </c>
      <c r="K159" s="248"/>
      <c r="L159" s="249"/>
      <c r="M159" s="248"/>
      <c r="N159" s="825">
        <v>26693780</v>
      </c>
      <c r="O159" s="72"/>
      <c r="P159" s="72"/>
      <c r="Q159" s="827">
        <v>1</v>
      </c>
      <c r="R159" s="72"/>
    </row>
    <row r="160" spans="1:18" ht="150">
      <c r="A160" s="241"/>
      <c r="B160" s="447" t="s">
        <v>1673</v>
      </c>
      <c r="C160" s="243"/>
      <c r="D160" s="825">
        <v>12945980</v>
      </c>
      <c r="E160" s="335" t="s">
        <v>274</v>
      </c>
      <c r="F160" s="247"/>
      <c r="G160" s="447" t="s">
        <v>1673</v>
      </c>
      <c r="H160" s="825">
        <v>12945980</v>
      </c>
      <c r="I160" s="247"/>
      <c r="J160" s="826">
        <v>42332</v>
      </c>
      <c r="K160" s="248"/>
      <c r="L160" s="249"/>
      <c r="M160" s="248"/>
      <c r="N160" s="825">
        <v>12945980</v>
      </c>
      <c r="O160" s="72"/>
      <c r="P160" s="72"/>
      <c r="Q160" s="827">
        <v>1</v>
      </c>
      <c r="R160" s="72"/>
    </row>
    <row r="161" spans="1:18" ht="105">
      <c r="A161" s="241"/>
      <c r="B161" s="447" t="s">
        <v>1674</v>
      </c>
      <c r="C161" s="243"/>
      <c r="D161" s="825">
        <v>40292633</v>
      </c>
      <c r="E161" s="335" t="s">
        <v>224</v>
      </c>
      <c r="F161" s="247"/>
      <c r="G161" s="447" t="s">
        <v>1674</v>
      </c>
      <c r="H161" s="825">
        <v>40292633</v>
      </c>
      <c r="I161" s="837">
        <v>42333</v>
      </c>
      <c r="J161" s="826">
        <v>42347</v>
      </c>
      <c r="K161" s="248"/>
      <c r="L161" s="249"/>
      <c r="M161" s="248"/>
      <c r="N161" s="825">
        <v>40292633</v>
      </c>
      <c r="O161" s="72"/>
      <c r="P161" s="72"/>
      <c r="Q161" s="827">
        <v>1</v>
      </c>
      <c r="R161" s="72"/>
    </row>
    <row r="162" spans="1:18" ht="120">
      <c r="A162" s="241"/>
      <c r="B162" s="447" t="s">
        <v>1675</v>
      </c>
      <c r="C162" s="243"/>
      <c r="D162" s="825">
        <v>34148588</v>
      </c>
      <c r="E162" s="335" t="s">
        <v>224</v>
      </c>
      <c r="F162" s="247"/>
      <c r="G162" s="447" t="s">
        <v>1675</v>
      </c>
      <c r="H162" s="825">
        <v>34148588</v>
      </c>
      <c r="I162" s="837">
        <v>42318</v>
      </c>
      <c r="J162" s="826">
        <v>42348</v>
      </c>
      <c r="K162" s="248"/>
      <c r="L162" s="249"/>
      <c r="M162" s="248"/>
      <c r="N162" s="825">
        <v>34148588</v>
      </c>
      <c r="O162" s="72"/>
      <c r="P162" s="72"/>
      <c r="Q162" s="827">
        <v>1</v>
      </c>
      <c r="R162" s="72"/>
    </row>
    <row r="163" spans="1:18" ht="135">
      <c r="A163" s="241"/>
      <c r="B163" s="447" t="s">
        <v>1676</v>
      </c>
      <c r="C163" s="243"/>
      <c r="D163" s="825">
        <v>16270499</v>
      </c>
      <c r="E163" s="335" t="s">
        <v>224</v>
      </c>
      <c r="F163" s="247"/>
      <c r="G163" s="447" t="s">
        <v>1676</v>
      </c>
      <c r="H163" s="825">
        <v>16270499</v>
      </c>
      <c r="I163" s="837">
        <v>42318</v>
      </c>
      <c r="J163" s="826">
        <v>42353</v>
      </c>
      <c r="K163" s="248"/>
      <c r="L163" s="249"/>
      <c r="M163" s="248"/>
      <c r="N163" s="825">
        <v>16270499</v>
      </c>
      <c r="O163" s="72"/>
      <c r="P163" s="72"/>
      <c r="Q163" s="827">
        <v>1</v>
      </c>
      <c r="R163" s="72"/>
    </row>
    <row r="164" spans="1:18" ht="150">
      <c r="A164" s="241"/>
      <c r="B164" s="447" t="s">
        <v>1677</v>
      </c>
      <c r="C164" s="243"/>
      <c r="D164" s="825">
        <v>14890213</v>
      </c>
      <c r="E164" s="335" t="s">
        <v>224</v>
      </c>
      <c r="F164" s="247"/>
      <c r="G164" s="447" t="s">
        <v>1677</v>
      </c>
      <c r="H164" s="825">
        <v>14890213</v>
      </c>
      <c r="I164" s="837">
        <v>42318</v>
      </c>
      <c r="J164" s="826">
        <v>42353</v>
      </c>
      <c r="K164" s="248"/>
      <c r="L164" s="249"/>
      <c r="M164" s="248"/>
      <c r="N164" s="825">
        <v>14890213</v>
      </c>
      <c r="O164" s="72"/>
      <c r="P164" s="72"/>
      <c r="Q164" s="827">
        <v>1</v>
      </c>
      <c r="R164" s="72"/>
    </row>
    <row r="165" spans="1:18" ht="90">
      <c r="A165" s="241"/>
      <c r="B165" s="447" t="s">
        <v>1678</v>
      </c>
      <c r="C165" s="243"/>
      <c r="D165" s="825">
        <v>3058827</v>
      </c>
      <c r="E165" s="335" t="s">
        <v>580</v>
      </c>
      <c r="F165" s="247"/>
      <c r="G165" s="447" t="s">
        <v>1678</v>
      </c>
      <c r="H165" s="825">
        <v>3058827</v>
      </c>
      <c r="I165" s="837">
        <v>42318</v>
      </c>
      <c r="J165" s="826">
        <v>42354</v>
      </c>
      <c r="K165" s="248"/>
      <c r="L165" s="249"/>
      <c r="M165" s="248"/>
      <c r="N165" s="825">
        <v>3058827</v>
      </c>
      <c r="O165" s="72"/>
      <c r="P165" s="72"/>
      <c r="Q165" s="827">
        <v>1</v>
      </c>
      <c r="R165" s="72"/>
    </row>
    <row r="166" spans="1:18" ht="120">
      <c r="A166" s="241"/>
      <c r="B166" s="447" t="s">
        <v>1679</v>
      </c>
      <c r="C166" s="243"/>
      <c r="D166" s="825">
        <v>48000000</v>
      </c>
      <c r="E166" s="335" t="s">
        <v>1666</v>
      </c>
      <c r="F166" s="247"/>
      <c r="G166" s="447" t="s">
        <v>1679</v>
      </c>
      <c r="H166" s="825">
        <v>48000000</v>
      </c>
      <c r="I166" s="837">
        <v>42318</v>
      </c>
      <c r="J166" s="826">
        <v>42366</v>
      </c>
      <c r="K166" s="248"/>
      <c r="L166" s="249"/>
      <c r="M166" s="248"/>
      <c r="N166" s="825">
        <v>48000000</v>
      </c>
      <c r="O166" s="72"/>
      <c r="P166" s="72"/>
      <c r="Q166" s="827">
        <v>1</v>
      </c>
      <c r="R166" s="72"/>
    </row>
    <row r="167" spans="1:18" s="316" customFormat="1" ht="58.5" customHeight="1">
      <c r="A167" s="309">
        <v>213</v>
      </c>
      <c r="B167" s="232" t="s">
        <v>598</v>
      </c>
      <c r="C167" s="233"/>
      <c r="D167" s="233">
        <v>2736918523</v>
      </c>
      <c r="E167" s="884"/>
      <c r="F167" s="310"/>
      <c r="G167" s="311"/>
      <c r="H167" s="312"/>
      <c r="I167" s="310"/>
      <c r="J167" s="310"/>
      <c r="K167" s="313"/>
      <c r="L167" s="885"/>
      <c r="M167" s="313"/>
      <c r="N167" s="314"/>
      <c r="O167" s="315"/>
      <c r="P167" s="315"/>
      <c r="Q167" s="886"/>
      <c r="R167" s="315"/>
    </row>
    <row r="168" spans="1:18" ht="45">
      <c r="A168" s="241">
        <v>213608001</v>
      </c>
      <c r="B168" s="242" t="s">
        <v>599</v>
      </c>
      <c r="C168" s="243"/>
      <c r="D168" s="243">
        <f>+D169</f>
        <v>50000000</v>
      </c>
      <c r="E168" s="335"/>
      <c r="F168" s="247"/>
      <c r="G168" s="274"/>
      <c r="H168" s="246"/>
      <c r="I168" s="247"/>
      <c r="J168" s="247"/>
      <c r="K168" s="248"/>
      <c r="L168" s="249">
        <v>0</v>
      </c>
      <c r="M168" s="248"/>
      <c r="N168" s="250"/>
      <c r="O168" s="72"/>
      <c r="P168" s="72"/>
      <c r="Q168" s="827">
        <v>1</v>
      </c>
      <c r="R168" s="72"/>
    </row>
    <row r="169" spans="1:18" ht="90">
      <c r="A169" s="241">
        <v>213608001000001</v>
      </c>
      <c r="B169" s="242" t="s">
        <v>600</v>
      </c>
      <c r="C169" s="243"/>
      <c r="D169" s="243">
        <v>50000000</v>
      </c>
      <c r="E169" s="335"/>
      <c r="F169" s="247"/>
      <c r="G169" s="245"/>
      <c r="H169" s="246"/>
      <c r="I169" s="247"/>
      <c r="J169" s="247"/>
      <c r="K169" s="248"/>
      <c r="L169" s="249">
        <v>0</v>
      </c>
      <c r="M169" s="248"/>
      <c r="N169" s="250"/>
      <c r="O169" s="72"/>
      <c r="P169" s="72"/>
      <c r="Q169" s="827">
        <v>1</v>
      </c>
      <c r="R169" s="72"/>
    </row>
    <row r="170" spans="1:18" ht="25.5">
      <c r="A170" s="241"/>
      <c r="B170" s="277" t="s">
        <v>601</v>
      </c>
      <c r="C170" s="284"/>
      <c r="D170" s="284">
        <v>50000000</v>
      </c>
      <c r="E170" s="276" t="s">
        <v>224</v>
      </c>
      <c r="F170" s="247"/>
      <c r="G170" s="279" t="s">
        <v>602</v>
      </c>
      <c r="H170" s="246">
        <v>49999200</v>
      </c>
      <c r="I170" s="271">
        <v>42095</v>
      </c>
      <c r="J170" s="271">
        <v>42139</v>
      </c>
      <c r="K170" s="248"/>
      <c r="L170" s="249">
        <v>0</v>
      </c>
      <c r="M170" s="248"/>
      <c r="N170" s="250">
        <v>49999999</v>
      </c>
      <c r="O170" s="72"/>
      <c r="P170" s="72"/>
      <c r="Q170" s="827">
        <v>1</v>
      </c>
      <c r="R170" s="72"/>
    </row>
    <row r="171" spans="1:18" s="836" customFormat="1" ht="60">
      <c r="A171" s="849"/>
      <c r="B171" s="831" t="s">
        <v>1680</v>
      </c>
      <c r="C171" s="887"/>
      <c r="D171" s="833">
        <v>41597600</v>
      </c>
      <c r="E171" s="335" t="s">
        <v>224</v>
      </c>
      <c r="F171" s="263"/>
      <c r="G171" s="831" t="s">
        <v>1680</v>
      </c>
      <c r="H171" s="833">
        <v>41597600</v>
      </c>
      <c r="I171" s="271"/>
      <c r="J171" s="271"/>
      <c r="K171" s="300"/>
      <c r="L171" s="267"/>
      <c r="M171" s="300"/>
      <c r="N171" s="833">
        <v>41597600</v>
      </c>
      <c r="O171" s="832"/>
      <c r="P171" s="832"/>
      <c r="Q171" s="827">
        <v>1</v>
      </c>
      <c r="R171" s="832"/>
    </row>
    <row r="172" spans="1:18" ht="30">
      <c r="A172" s="241"/>
      <c r="B172" s="447" t="s">
        <v>1681</v>
      </c>
      <c r="C172" s="284"/>
      <c r="D172" s="825">
        <v>7900000</v>
      </c>
      <c r="E172" s="335" t="s">
        <v>224</v>
      </c>
      <c r="F172" s="247"/>
      <c r="G172" s="447" t="s">
        <v>1681</v>
      </c>
      <c r="H172" s="825">
        <v>7900000</v>
      </c>
      <c r="I172" s="271"/>
      <c r="J172" s="271"/>
      <c r="K172" s="248"/>
      <c r="L172" s="249"/>
      <c r="M172" s="248"/>
      <c r="N172" s="825">
        <v>7900000</v>
      </c>
      <c r="O172" s="72"/>
      <c r="P172" s="72"/>
      <c r="Q172" s="827">
        <v>1</v>
      </c>
      <c r="R172" s="72"/>
    </row>
    <row r="173" spans="1:18" ht="45">
      <c r="A173" s="241"/>
      <c r="B173" s="447" t="s">
        <v>1682</v>
      </c>
      <c r="C173" s="284"/>
      <c r="D173" s="825">
        <v>298000</v>
      </c>
      <c r="E173" s="335" t="s">
        <v>224</v>
      </c>
      <c r="F173" s="247"/>
      <c r="G173" s="447" t="s">
        <v>1682</v>
      </c>
      <c r="H173" s="825">
        <v>298000</v>
      </c>
      <c r="I173" s="271"/>
      <c r="J173" s="271"/>
      <c r="K173" s="248"/>
      <c r="L173" s="249"/>
      <c r="M173" s="248"/>
      <c r="N173" s="825">
        <v>298000</v>
      </c>
      <c r="O173" s="72"/>
      <c r="P173" s="72"/>
      <c r="Q173" s="827">
        <v>1</v>
      </c>
      <c r="R173" s="72"/>
    </row>
    <row r="174" spans="1:18" s="836" customFormat="1" ht="60">
      <c r="A174" s="849">
        <v>213608002</v>
      </c>
      <c r="B174" s="257" t="s">
        <v>603</v>
      </c>
      <c r="C174" s="272"/>
      <c r="D174" s="272">
        <v>31902370</v>
      </c>
      <c r="E174" s="335" t="s">
        <v>170</v>
      </c>
      <c r="F174" s="264"/>
      <c r="G174" s="851"/>
      <c r="H174" s="265"/>
      <c r="I174" s="263"/>
      <c r="J174" s="263"/>
      <c r="K174" s="300"/>
      <c r="L174" s="249">
        <v>0</v>
      </c>
      <c r="M174" s="300"/>
      <c r="N174" s="268"/>
      <c r="O174" s="832"/>
      <c r="P174" s="832"/>
      <c r="Q174" s="827">
        <v>1</v>
      </c>
      <c r="R174" s="832"/>
    </row>
    <row r="175" spans="1:18" s="836" customFormat="1" ht="75">
      <c r="A175" s="849">
        <v>213608002000002</v>
      </c>
      <c r="B175" s="831" t="s">
        <v>1683</v>
      </c>
      <c r="D175" s="833">
        <v>9340000</v>
      </c>
      <c r="E175" s="335" t="s">
        <v>224</v>
      </c>
      <c r="F175" s="263"/>
      <c r="G175" s="831" t="s">
        <v>1683</v>
      </c>
      <c r="H175" s="833">
        <v>9340000</v>
      </c>
      <c r="I175" s="263"/>
      <c r="J175" s="835">
        <v>42234</v>
      </c>
      <c r="K175" s="300"/>
      <c r="L175" s="267">
        <v>0</v>
      </c>
      <c r="M175" s="300"/>
      <c r="N175" s="833">
        <v>9340000</v>
      </c>
      <c r="O175" s="832"/>
      <c r="P175" s="832"/>
      <c r="Q175" s="827">
        <v>1</v>
      </c>
      <c r="R175" s="832"/>
    </row>
    <row r="176" spans="1:18" s="836" customFormat="1" ht="90">
      <c r="A176" s="849">
        <v>213608002000009</v>
      </c>
      <c r="B176" s="888" t="s">
        <v>1684</v>
      </c>
      <c r="C176" s="887"/>
      <c r="D176" s="825">
        <v>15612092</v>
      </c>
      <c r="E176" s="335" t="s">
        <v>584</v>
      </c>
      <c r="F176" s="263"/>
      <c r="G176" s="888" t="s">
        <v>604</v>
      </c>
      <c r="H176" s="825">
        <v>15612092</v>
      </c>
      <c r="I176" s="263" t="s">
        <v>1685</v>
      </c>
      <c r="J176" s="826">
        <v>42332</v>
      </c>
      <c r="K176" s="300"/>
      <c r="L176" s="249">
        <v>0</v>
      </c>
      <c r="M176" s="300"/>
      <c r="N176" s="825">
        <v>15612092</v>
      </c>
      <c r="O176" s="832"/>
      <c r="P176" s="832"/>
      <c r="Q176" s="827">
        <v>1</v>
      </c>
      <c r="R176" s="832"/>
    </row>
    <row r="177" spans="1:18" s="836" customFormat="1" ht="120">
      <c r="A177" s="849"/>
      <c r="B177" s="447" t="s">
        <v>1686</v>
      </c>
      <c r="C177" s="887"/>
      <c r="D177" s="825">
        <v>5900000</v>
      </c>
      <c r="E177" s="335" t="s">
        <v>584</v>
      </c>
      <c r="F177" s="263"/>
      <c r="G177" s="447" t="s">
        <v>1686</v>
      </c>
      <c r="H177" s="825">
        <v>5900000</v>
      </c>
      <c r="I177" s="263" t="s">
        <v>1685</v>
      </c>
      <c r="J177" s="826">
        <v>42332</v>
      </c>
      <c r="K177" s="300"/>
      <c r="L177" s="249"/>
      <c r="M177" s="300"/>
      <c r="N177" s="825">
        <v>5900000</v>
      </c>
      <c r="O177" s="832"/>
      <c r="P177" s="832"/>
      <c r="Q177" s="827">
        <v>1</v>
      </c>
      <c r="R177" s="832"/>
    </row>
    <row r="178" spans="1:18" s="597" customFormat="1" ht="45">
      <c r="A178" s="889"/>
      <c r="B178" s="890" t="s">
        <v>1687</v>
      </c>
      <c r="C178" s="891"/>
      <c r="D178" s="892">
        <v>50000000</v>
      </c>
      <c r="E178" s="893"/>
      <c r="F178" s="894"/>
      <c r="G178" s="895"/>
      <c r="H178" s="896"/>
      <c r="I178" s="894"/>
      <c r="J178" s="897"/>
      <c r="K178" s="898"/>
      <c r="L178" s="899"/>
      <c r="M178" s="898"/>
      <c r="N178" s="900"/>
      <c r="O178" s="901"/>
      <c r="P178" s="901"/>
      <c r="Q178" s="902"/>
      <c r="R178" s="901"/>
    </row>
    <row r="179" spans="1:18" s="836" customFormat="1" ht="120">
      <c r="A179" s="849"/>
      <c r="B179" s="831" t="s">
        <v>1688</v>
      </c>
      <c r="C179" s="887"/>
      <c r="D179" s="833">
        <v>10000000</v>
      </c>
      <c r="E179" s="335" t="s">
        <v>1548</v>
      </c>
      <c r="F179" s="263"/>
      <c r="G179" s="831" t="s">
        <v>1688</v>
      </c>
      <c r="H179" s="833">
        <v>10000000</v>
      </c>
      <c r="I179" s="835"/>
      <c r="J179" s="835">
        <v>42062</v>
      </c>
      <c r="K179" s="300"/>
      <c r="L179" s="267"/>
      <c r="M179" s="300"/>
      <c r="N179" s="833">
        <v>10000000</v>
      </c>
      <c r="O179" s="832"/>
      <c r="P179" s="832"/>
      <c r="Q179" s="827">
        <v>1</v>
      </c>
      <c r="R179" s="832"/>
    </row>
    <row r="180" spans="1:18" s="836" customFormat="1" ht="90">
      <c r="A180" s="849"/>
      <c r="B180" s="831" t="s">
        <v>1689</v>
      </c>
      <c r="C180" s="887"/>
      <c r="D180" s="833">
        <v>6972112</v>
      </c>
      <c r="E180" s="335" t="s">
        <v>584</v>
      </c>
      <c r="F180" s="263"/>
      <c r="G180" s="831" t="s">
        <v>1689</v>
      </c>
      <c r="H180" s="833">
        <v>6972112</v>
      </c>
      <c r="I180" s="835"/>
      <c r="J180" s="835">
        <v>42123</v>
      </c>
      <c r="K180" s="300"/>
      <c r="L180" s="267"/>
      <c r="M180" s="300"/>
      <c r="N180" s="833">
        <v>6972112</v>
      </c>
      <c r="O180" s="832"/>
      <c r="P180" s="832"/>
      <c r="Q180" s="827">
        <v>1</v>
      </c>
      <c r="R180" s="832"/>
    </row>
    <row r="181" spans="1:18" s="836" customFormat="1" ht="90">
      <c r="A181" s="849"/>
      <c r="B181" s="831" t="s">
        <v>1690</v>
      </c>
      <c r="C181" s="887"/>
      <c r="D181" s="833">
        <v>4980000</v>
      </c>
      <c r="E181" s="335" t="s">
        <v>582</v>
      </c>
      <c r="F181" s="263"/>
      <c r="G181" s="831" t="s">
        <v>1690</v>
      </c>
      <c r="H181" s="833">
        <v>4980000</v>
      </c>
      <c r="I181" s="835"/>
      <c r="J181" s="835">
        <v>42129</v>
      </c>
      <c r="K181" s="300"/>
      <c r="L181" s="267"/>
      <c r="M181" s="300"/>
      <c r="N181" s="833">
        <v>4980000</v>
      </c>
      <c r="O181" s="832"/>
      <c r="P181" s="832"/>
      <c r="Q181" s="827">
        <v>1</v>
      </c>
      <c r="R181" s="832"/>
    </row>
    <row r="182" spans="1:18" s="836" customFormat="1" ht="120">
      <c r="A182" s="849"/>
      <c r="B182" s="831" t="s">
        <v>1691</v>
      </c>
      <c r="C182" s="887"/>
      <c r="D182" s="833">
        <v>15896414</v>
      </c>
      <c r="E182" s="335" t="s">
        <v>274</v>
      </c>
      <c r="F182" s="263"/>
      <c r="G182" s="831" t="s">
        <v>1691</v>
      </c>
      <c r="H182" s="833">
        <v>15896414</v>
      </c>
      <c r="I182" s="835"/>
      <c r="J182" s="835">
        <v>42135</v>
      </c>
      <c r="K182" s="300"/>
      <c r="L182" s="267"/>
      <c r="M182" s="300"/>
      <c r="N182" s="833">
        <v>15896414</v>
      </c>
      <c r="O182" s="832"/>
      <c r="P182" s="832"/>
      <c r="Q182" s="827">
        <v>1</v>
      </c>
      <c r="R182" s="832"/>
    </row>
    <row r="183" spans="1:18" s="836" customFormat="1" ht="105">
      <c r="A183" s="849"/>
      <c r="B183" s="831" t="s">
        <v>1692</v>
      </c>
      <c r="C183" s="887"/>
      <c r="D183" s="833">
        <v>4959920</v>
      </c>
      <c r="E183" s="335" t="s">
        <v>274</v>
      </c>
      <c r="F183" s="263"/>
      <c r="G183" s="831" t="s">
        <v>1692</v>
      </c>
      <c r="H183" s="833">
        <v>4959920</v>
      </c>
      <c r="I183" s="835"/>
      <c r="J183" s="835">
        <v>42171</v>
      </c>
      <c r="K183" s="300"/>
      <c r="L183" s="267"/>
      <c r="M183" s="300"/>
      <c r="N183" s="833">
        <v>4959920</v>
      </c>
      <c r="O183" s="832"/>
      <c r="P183" s="832"/>
      <c r="Q183" s="827">
        <v>1</v>
      </c>
      <c r="R183" s="832"/>
    </row>
    <row r="184" spans="1:18" s="836" customFormat="1" ht="90">
      <c r="A184" s="849"/>
      <c r="B184" s="831" t="s">
        <v>1693</v>
      </c>
      <c r="C184" s="887"/>
      <c r="D184" s="833">
        <v>6970800</v>
      </c>
      <c r="E184" s="335" t="s">
        <v>1694</v>
      </c>
      <c r="F184" s="263"/>
      <c r="G184" s="831" t="s">
        <v>1693</v>
      </c>
      <c r="H184" s="833">
        <v>6970800</v>
      </c>
      <c r="I184" s="835"/>
      <c r="J184" s="835">
        <v>42349</v>
      </c>
      <c r="K184" s="300"/>
      <c r="L184" s="267"/>
      <c r="M184" s="300"/>
      <c r="N184" s="833">
        <v>6970800</v>
      </c>
      <c r="O184" s="832"/>
      <c r="P184" s="832"/>
      <c r="Q184" s="827">
        <v>1</v>
      </c>
      <c r="R184" s="832"/>
    </row>
    <row r="185" spans="1:18" s="836" customFormat="1" ht="45">
      <c r="A185" s="849">
        <v>213608003</v>
      </c>
      <c r="B185" s="257" t="s">
        <v>1695</v>
      </c>
      <c r="C185" s="272"/>
      <c r="D185" s="272">
        <v>353660213</v>
      </c>
      <c r="E185" s="335"/>
      <c r="F185" s="264"/>
      <c r="G185" s="851"/>
      <c r="H185" s="265"/>
      <c r="I185" s="263"/>
      <c r="J185" s="263"/>
      <c r="K185" s="300"/>
      <c r="L185" s="249"/>
      <c r="M185" s="300"/>
      <c r="N185" s="268"/>
      <c r="O185" s="832"/>
      <c r="P185" s="832"/>
      <c r="Q185" s="827"/>
      <c r="R185" s="832"/>
    </row>
    <row r="186" spans="1:18" s="836" customFormat="1" ht="60">
      <c r="A186" s="849">
        <v>213608003000004</v>
      </c>
      <c r="B186" s="257" t="s">
        <v>1696</v>
      </c>
      <c r="C186" s="272"/>
      <c r="D186" s="272">
        <v>264946580</v>
      </c>
      <c r="E186" s="335"/>
      <c r="F186" s="263"/>
      <c r="G186" s="851"/>
      <c r="H186" s="265"/>
      <c r="J186" s="829"/>
      <c r="K186" s="300"/>
      <c r="L186" s="249"/>
      <c r="M186" s="300"/>
      <c r="N186" s="272"/>
      <c r="O186" s="832"/>
      <c r="P186" s="832"/>
      <c r="Q186" s="827"/>
      <c r="R186" s="832"/>
    </row>
    <row r="187" spans="1:18" s="836" customFormat="1" ht="165">
      <c r="A187" s="849">
        <v>213608003000005</v>
      </c>
      <c r="B187" s="447" t="s">
        <v>1697</v>
      </c>
      <c r="C187" s="272"/>
      <c r="D187" s="825">
        <v>58600000</v>
      </c>
      <c r="E187" s="335" t="s">
        <v>170</v>
      </c>
      <c r="F187" s="263"/>
      <c r="G187" s="447" t="s">
        <v>1697</v>
      </c>
      <c r="H187" s="825">
        <v>58600000</v>
      </c>
      <c r="I187" s="263"/>
      <c r="J187" s="826">
        <v>42051</v>
      </c>
      <c r="K187" s="300"/>
      <c r="L187" s="249">
        <v>0</v>
      </c>
      <c r="M187" s="300"/>
      <c r="N187" s="825">
        <v>58600000</v>
      </c>
      <c r="O187" s="832"/>
      <c r="P187" s="832"/>
      <c r="Q187" s="827">
        <v>1</v>
      </c>
      <c r="R187" s="832"/>
    </row>
    <row r="188" spans="1:18" s="836" customFormat="1" ht="150">
      <c r="A188" s="849"/>
      <c r="B188" s="447" t="s">
        <v>1698</v>
      </c>
      <c r="C188" s="272"/>
      <c r="D188" s="825">
        <v>193466372</v>
      </c>
      <c r="E188" s="335" t="s">
        <v>170</v>
      </c>
      <c r="F188" s="263"/>
      <c r="G188" s="447" t="s">
        <v>1698</v>
      </c>
      <c r="H188" s="825">
        <v>193466372</v>
      </c>
      <c r="I188" s="263"/>
      <c r="J188" s="826">
        <v>42076</v>
      </c>
      <c r="K188" s="300"/>
      <c r="L188" s="249"/>
      <c r="M188" s="300"/>
      <c r="N188" s="825">
        <v>193466372</v>
      </c>
      <c r="O188" s="832"/>
      <c r="P188" s="832"/>
      <c r="Q188" s="827">
        <v>1</v>
      </c>
      <c r="R188" s="832"/>
    </row>
    <row r="189" spans="1:18" s="836" customFormat="1" ht="135">
      <c r="A189" s="849"/>
      <c r="B189" s="447" t="s">
        <v>1699</v>
      </c>
      <c r="C189" s="272"/>
      <c r="D189" s="825">
        <v>6200000</v>
      </c>
      <c r="E189" s="335" t="s">
        <v>170</v>
      </c>
      <c r="F189" s="263"/>
      <c r="G189" s="447" t="s">
        <v>1699</v>
      </c>
      <c r="H189" s="825">
        <v>6200000</v>
      </c>
      <c r="I189" s="263"/>
      <c r="J189" s="826">
        <v>42076</v>
      </c>
      <c r="K189" s="300"/>
      <c r="L189" s="249"/>
      <c r="M189" s="300"/>
      <c r="N189" s="825">
        <v>6200000</v>
      </c>
      <c r="O189" s="832"/>
      <c r="P189" s="832"/>
      <c r="Q189" s="827">
        <v>1</v>
      </c>
      <c r="R189" s="832"/>
    </row>
    <row r="190" spans="1:18" s="836" customFormat="1" ht="105">
      <c r="A190" s="849"/>
      <c r="B190" s="447" t="s">
        <v>1700</v>
      </c>
      <c r="C190" s="272"/>
      <c r="D190" s="825">
        <v>6680208</v>
      </c>
      <c r="E190" s="335" t="s">
        <v>170</v>
      </c>
      <c r="F190" s="263"/>
      <c r="G190" s="447" t="s">
        <v>1700</v>
      </c>
      <c r="H190" s="825">
        <v>6680208</v>
      </c>
      <c r="I190" s="263"/>
      <c r="J190" s="826">
        <v>42081</v>
      </c>
      <c r="K190" s="300"/>
      <c r="L190" s="249"/>
      <c r="M190" s="300"/>
      <c r="N190" s="825">
        <v>6680208</v>
      </c>
      <c r="O190" s="832"/>
      <c r="P190" s="832"/>
      <c r="Q190" s="827">
        <v>1</v>
      </c>
      <c r="R190" s="832"/>
    </row>
    <row r="191" spans="1:18" s="915" customFormat="1" ht="60">
      <c r="A191" s="903">
        <v>213608007</v>
      </c>
      <c r="B191" s="904" t="s">
        <v>605</v>
      </c>
      <c r="C191" s="905"/>
      <c r="D191" s="905">
        <f>+D192+D197+D199+D202</f>
        <v>353660213</v>
      </c>
      <c r="E191" s="906"/>
      <c r="F191" s="907"/>
      <c r="G191" s="908"/>
      <c r="H191" s="909"/>
      <c r="I191" s="907"/>
      <c r="J191" s="907"/>
      <c r="K191" s="910"/>
      <c r="L191" s="911"/>
      <c r="M191" s="910"/>
      <c r="N191" s="912"/>
      <c r="O191" s="913"/>
      <c r="P191" s="913"/>
      <c r="Q191" s="914"/>
      <c r="R191" s="913"/>
    </row>
    <row r="192" spans="1:18" ht="60">
      <c r="A192" s="241">
        <v>213608007000003</v>
      </c>
      <c r="B192" s="242" t="s">
        <v>606</v>
      </c>
      <c r="C192" s="243"/>
      <c r="D192" s="243">
        <v>264946580</v>
      </c>
      <c r="E192" s="335" t="s">
        <v>170</v>
      </c>
      <c r="F192" s="318"/>
      <c r="G192" s="245"/>
      <c r="H192" s="246"/>
      <c r="I192" s="247"/>
      <c r="J192" s="247"/>
      <c r="K192" s="248"/>
      <c r="L192" s="249">
        <v>0</v>
      </c>
      <c r="M192" s="248"/>
      <c r="N192" s="250"/>
      <c r="O192" s="72"/>
      <c r="P192" s="72"/>
      <c r="Q192" s="827">
        <v>1</v>
      </c>
      <c r="R192" s="72"/>
    </row>
    <row r="193" spans="1:18" ht="165">
      <c r="A193" s="241"/>
      <c r="B193" s="447" t="s">
        <v>1697</v>
      </c>
      <c r="C193" s="284"/>
      <c r="D193" s="825">
        <v>58600000</v>
      </c>
      <c r="E193" s="276" t="s">
        <v>607</v>
      </c>
      <c r="F193" s="247"/>
      <c r="G193" s="447" t="s">
        <v>1697</v>
      </c>
      <c r="H193" s="825">
        <v>58600000</v>
      </c>
      <c r="I193" s="255">
        <v>42037</v>
      </c>
      <c r="J193" s="826">
        <v>42051</v>
      </c>
      <c r="K193" s="248"/>
      <c r="L193" s="249">
        <v>0</v>
      </c>
      <c r="M193" s="248"/>
      <c r="N193" s="825">
        <v>58600000</v>
      </c>
      <c r="O193" s="72" t="s">
        <v>217</v>
      </c>
      <c r="P193" s="72"/>
      <c r="Q193" s="827">
        <v>1</v>
      </c>
      <c r="R193" s="681"/>
    </row>
    <row r="194" spans="1:18" ht="150">
      <c r="A194" s="241"/>
      <c r="B194" s="447" t="s">
        <v>1698</v>
      </c>
      <c r="C194" s="284"/>
      <c r="D194" s="825">
        <v>193466372</v>
      </c>
      <c r="E194" s="276" t="s">
        <v>170</v>
      </c>
      <c r="F194" s="247"/>
      <c r="G194" s="447" t="s">
        <v>1698</v>
      </c>
      <c r="H194" s="825">
        <v>193466372</v>
      </c>
      <c r="I194" s="255">
        <v>42019</v>
      </c>
      <c r="J194" s="826">
        <v>42076</v>
      </c>
      <c r="K194" s="248"/>
      <c r="L194" s="249">
        <v>0</v>
      </c>
      <c r="M194" s="248"/>
      <c r="N194" s="825">
        <v>193466372</v>
      </c>
      <c r="O194" s="72" t="s">
        <v>217</v>
      </c>
      <c r="P194" s="72"/>
      <c r="Q194" s="827">
        <v>1</v>
      </c>
      <c r="R194" s="681"/>
    </row>
    <row r="195" spans="1:18" ht="135">
      <c r="A195" s="241"/>
      <c r="B195" s="447" t="s">
        <v>1699</v>
      </c>
      <c r="C195" s="284"/>
      <c r="D195" s="825">
        <v>6200000</v>
      </c>
      <c r="E195" s="916" t="s">
        <v>165</v>
      </c>
      <c r="F195" s="247"/>
      <c r="G195" s="447" t="s">
        <v>1699</v>
      </c>
      <c r="H195" s="825">
        <v>6200000</v>
      </c>
      <c r="I195" s="255">
        <v>42037</v>
      </c>
      <c r="J195" s="826">
        <v>42076</v>
      </c>
      <c r="K195" s="248"/>
      <c r="L195" s="249">
        <v>0</v>
      </c>
      <c r="M195" s="248"/>
      <c r="N195" s="825">
        <v>6200000</v>
      </c>
      <c r="O195" s="72" t="s">
        <v>217</v>
      </c>
      <c r="P195" s="72"/>
      <c r="Q195" s="827">
        <v>1</v>
      </c>
      <c r="R195" s="681"/>
    </row>
    <row r="196" spans="1:18" ht="105">
      <c r="A196" s="241"/>
      <c r="B196" s="447" t="s">
        <v>1700</v>
      </c>
      <c r="C196" s="284"/>
      <c r="D196" s="825">
        <v>6680208</v>
      </c>
      <c r="E196" s="276" t="s">
        <v>1701</v>
      </c>
      <c r="F196" s="247"/>
      <c r="G196" s="447" t="s">
        <v>1700</v>
      </c>
      <c r="H196" s="825">
        <v>6680208</v>
      </c>
      <c r="I196" s="255">
        <v>42019</v>
      </c>
      <c r="J196" s="826">
        <v>42081</v>
      </c>
      <c r="K196" s="248"/>
      <c r="L196" s="249">
        <v>0</v>
      </c>
      <c r="M196" s="248"/>
      <c r="N196" s="825">
        <v>6680208</v>
      </c>
      <c r="O196" s="72" t="s">
        <v>217</v>
      </c>
      <c r="P196" s="72"/>
      <c r="Q196" s="827">
        <v>1</v>
      </c>
      <c r="R196" s="185"/>
    </row>
    <row r="197" spans="1:18" ht="45">
      <c r="A197" s="241">
        <v>213608007000004</v>
      </c>
      <c r="B197" s="242" t="s">
        <v>608</v>
      </c>
      <c r="C197" s="243"/>
      <c r="D197" s="243">
        <v>29880000</v>
      </c>
      <c r="E197" s="335"/>
      <c r="F197" s="247"/>
      <c r="G197" s="245"/>
      <c r="H197" s="246"/>
      <c r="I197" s="247"/>
      <c r="J197" s="247"/>
      <c r="K197" s="248"/>
      <c r="L197" s="249"/>
      <c r="M197" s="248"/>
      <c r="N197" s="250"/>
      <c r="O197" s="72"/>
      <c r="P197" s="72"/>
      <c r="Q197" s="827"/>
      <c r="R197" s="72"/>
    </row>
    <row r="198" spans="1:18" ht="45">
      <c r="A198" s="241"/>
      <c r="B198" s="338" t="s">
        <v>609</v>
      </c>
      <c r="C198" s="284"/>
      <c r="D198" s="825">
        <v>29880000</v>
      </c>
      <c r="E198" s="276" t="s">
        <v>1701</v>
      </c>
      <c r="F198" s="247"/>
      <c r="G198" s="338" t="s">
        <v>1702</v>
      </c>
      <c r="H198" s="825">
        <v>29880000</v>
      </c>
      <c r="I198" s="255">
        <v>42059</v>
      </c>
      <c r="J198" s="826">
        <v>42108</v>
      </c>
      <c r="K198" s="248"/>
      <c r="L198" s="249">
        <v>0</v>
      </c>
      <c r="M198" s="248"/>
      <c r="N198" s="825">
        <v>29880000</v>
      </c>
      <c r="O198" s="72"/>
      <c r="P198" s="72"/>
      <c r="Q198" s="827">
        <v>1</v>
      </c>
      <c r="R198" s="185"/>
    </row>
    <row r="199" spans="1:18" ht="30">
      <c r="A199" s="241">
        <v>2.13608007000006E+16</v>
      </c>
      <c r="B199" s="242" t="s">
        <v>610</v>
      </c>
      <c r="C199" s="243"/>
      <c r="D199" s="243">
        <v>39839999</v>
      </c>
      <c r="E199" s="335" t="s">
        <v>170</v>
      </c>
      <c r="F199" s="247"/>
      <c r="G199" s="245"/>
      <c r="H199" s="246"/>
      <c r="I199" s="247"/>
      <c r="J199" s="247"/>
      <c r="K199" s="248"/>
      <c r="L199" s="249">
        <v>0</v>
      </c>
      <c r="M199" s="248"/>
      <c r="N199" s="250"/>
      <c r="O199" s="72"/>
      <c r="P199" s="72"/>
      <c r="Q199" s="827">
        <v>1</v>
      </c>
      <c r="R199" s="185"/>
    </row>
    <row r="200" spans="1:18" ht="45">
      <c r="A200" s="241"/>
      <c r="B200" s="338" t="s">
        <v>611</v>
      </c>
      <c r="C200" s="243"/>
      <c r="D200" s="825">
        <v>39839999</v>
      </c>
      <c r="E200" s="276" t="s">
        <v>1701</v>
      </c>
      <c r="F200" s="247"/>
      <c r="G200" s="338" t="s">
        <v>611</v>
      </c>
      <c r="H200" s="825">
        <v>39839999</v>
      </c>
      <c r="I200" s="255">
        <v>42061</v>
      </c>
      <c r="J200" s="826">
        <v>42100</v>
      </c>
      <c r="K200" s="248"/>
      <c r="L200" s="249">
        <v>0</v>
      </c>
      <c r="M200" s="248"/>
      <c r="N200" s="825">
        <v>39839999</v>
      </c>
      <c r="O200" s="72"/>
      <c r="P200" s="72"/>
      <c r="Q200" s="827">
        <v>1</v>
      </c>
      <c r="R200" s="185"/>
    </row>
    <row r="201" spans="1:18">
      <c r="A201" s="241"/>
      <c r="B201" s="338" t="s">
        <v>1703</v>
      </c>
      <c r="C201" s="243"/>
      <c r="D201" s="284">
        <f>D199-D200</f>
        <v>0</v>
      </c>
      <c r="E201" s="335"/>
      <c r="F201" s="247"/>
      <c r="G201" s="338"/>
      <c r="H201" s="284"/>
      <c r="I201" s="255"/>
      <c r="J201" s="255"/>
      <c r="K201" s="248"/>
      <c r="L201" s="249">
        <v>0</v>
      </c>
      <c r="M201" s="248"/>
      <c r="N201" s="250"/>
      <c r="O201" s="72"/>
      <c r="P201" s="72"/>
      <c r="Q201" s="827"/>
      <c r="R201" s="185"/>
    </row>
    <row r="202" spans="1:18" ht="75">
      <c r="A202" s="241">
        <v>213608007000009</v>
      </c>
      <c r="B202" s="319" t="s">
        <v>612</v>
      </c>
      <c r="C202" s="251"/>
      <c r="D202" s="251">
        <v>18993634</v>
      </c>
      <c r="E202" s="276" t="s">
        <v>1701</v>
      </c>
      <c r="F202" s="247" t="s">
        <v>613</v>
      </c>
      <c r="G202" s="338" t="s">
        <v>1704</v>
      </c>
      <c r="H202" s="246">
        <v>12000000</v>
      </c>
      <c r="I202" s="255">
        <v>42058</v>
      </c>
      <c r="J202" s="255">
        <v>42079</v>
      </c>
      <c r="K202" s="248"/>
      <c r="L202" s="249">
        <v>0</v>
      </c>
      <c r="M202" s="248"/>
      <c r="N202" s="250"/>
      <c r="O202" s="72"/>
      <c r="P202" s="72"/>
      <c r="Q202" s="827">
        <v>1</v>
      </c>
      <c r="R202" s="72"/>
    </row>
    <row r="203" spans="1:18" ht="60">
      <c r="A203" s="241"/>
      <c r="B203" s="447" t="s">
        <v>1705</v>
      </c>
      <c r="C203" s="320"/>
      <c r="D203" s="825">
        <v>12935152</v>
      </c>
      <c r="E203" s="276" t="s">
        <v>1701</v>
      </c>
      <c r="F203" s="247"/>
      <c r="G203" s="447" t="s">
        <v>1705</v>
      </c>
      <c r="H203" s="825">
        <v>12935152</v>
      </c>
      <c r="I203" s="247" t="s">
        <v>5</v>
      </c>
      <c r="J203" s="826">
        <v>42076</v>
      </c>
      <c r="K203" s="248"/>
      <c r="L203" s="249">
        <v>0</v>
      </c>
      <c r="M203" s="248"/>
      <c r="N203" s="825">
        <v>12935152</v>
      </c>
      <c r="O203" s="72" t="s">
        <v>217</v>
      </c>
      <c r="P203" s="72"/>
      <c r="Q203" s="827">
        <v>1</v>
      </c>
      <c r="R203" s="681"/>
    </row>
    <row r="204" spans="1:18" ht="60">
      <c r="A204" s="241"/>
      <c r="B204" s="447" t="s">
        <v>1706</v>
      </c>
      <c r="C204" s="251"/>
      <c r="D204" s="825">
        <v>5930000</v>
      </c>
      <c r="E204" s="276" t="s">
        <v>1701</v>
      </c>
      <c r="F204" s="247"/>
      <c r="G204" s="447" t="s">
        <v>1706</v>
      </c>
      <c r="H204" s="825">
        <v>5930000</v>
      </c>
      <c r="I204" s="247"/>
      <c r="J204" s="826">
        <v>42291</v>
      </c>
      <c r="K204" s="248"/>
      <c r="L204" s="249">
        <v>0</v>
      </c>
      <c r="M204" s="248"/>
      <c r="N204" s="825">
        <v>5930000</v>
      </c>
      <c r="O204" s="72"/>
      <c r="P204" s="72"/>
      <c r="Q204" s="827">
        <v>1</v>
      </c>
      <c r="R204" s="72"/>
    </row>
    <row r="205" spans="1:18" ht="75">
      <c r="A205" s="241">
        <v>213608010</v>
      </c>
      <c r="B205" s="242" t="s">
        <v>614</v>
      </c>
      <c r="C205" s="243"/>
      <c r="D205" s="243">
        <v>1955272075</v>
      </c>
      <c r="E205" s="335" t="s">
        <v>170</v>
      </c>
      <c r="F205" s="247"/>
      <c r="G205" s="245"/>
      <c r="H205" s="246"/>
      <c r="I205" s="247"/>
      <c r="J205" s="247"/>
      <c r="K205" s="248"/>
      <c r="L205" s="249">
        <v>0</v>
      </c>
      <c r="M205" s="248"/>
      <c r="N205" s="250"/>
      <c r="O205" s="72"/>
      <c r="P205" s="72"/>
      <c r="Q205" s="827">
        <v>1</v>
      </c>
      <c r="R205" s="72"/>
    </row>
    <row r="206" spans="1:18" ht="60">
      <c r="A206" s="241">
        <v>213608010000001</v>
      </c>
      <c r="B206" s="242" t="s">
        <v>615</v>
      </c>
      <c r="C206" s="243"/>
      <c r="D206" s="243">
        <v>325054260</v>
      </c>
      <c r="E206" s="335" t="s">
        <v>170</v>
      </c>
      <c r="F206" s="247"/>
      <c r="G206" s="245"/>
      <c r="H206" s="246"/>
      <c r="I206" s="247"/>
      <c r="J206" s="247"/>
      <c r="K206" s="248"/>
      <c r="L206" s="249">
        <v>0</v>
      </c>
      <c r="M206" s="248"/>
      <c r="N206" s="250"/>
      <c r="O206" s="72"/>
      <c r="P206" s="72"/>
      <c r="Q206" s="827">
        <v>1</v>
      </c>
      <c r="R206" s="72"/>
    </row>
    <row r="207" spans="1:18" ht="180">
      <c r="A207" s="241"/>
      <c r="B207" s="447" t="s">
        <v>1707</v>
      </c>
      <c r="C207" s="243"/>
      <c r="D207" s="825">
        <v>61806120</v>
      </c>
      <c r="E207" s="247" t="s">
        <v>170</v>
      </c>
      <c r="F207" s="247"/>
      <c r="G207" s="447" t="s">
        <v>1707</v>
      </c>
      <c r="H207" s="825">
        <v>61806120</v>
      </c>
      <c r="I207" s="247"/>
      <c r="J207" s="826">
        <v>42100</v>
      </c>
      <c r="K207" s="248"/>
      <c r="L207" s="249"/>
      <c r="M207" s="248"/>
      <c r="N207" s="825">
        <v>61806120</v>
      </c>
      <c r="O207" s="72"/>
      <c r="P207" s="72"/>
      <c r="Q207" s="827">
        <v>1</v>
      </c>
      <c r="R207" s="72"/>
    </row>
    <row r="208" spans="1:18" ht="120">
      <c r="A208" s="241"/>
      <c r="B208" s="447" t="s">
        <v>1708</v>
      </c>
      <c r="C208" s="243"/>
      <c r="D208" s="825">
        <v>61999999</v>
      </c>
      <c r="E208" s="335" t="s">
        <v>170</v>
      </c>
      <c r="F208" s="247"/>
      <c r="G208" s="447" t="s">
        <v>1708</v>
      </c>
      <c r="H208" s="825">
        <v>61999999</v>
      </c>
      <c r="I208" s="247"/>
      <c r="J208" s="826">
        <v>42108</v>
      </c>
      <c r="K208" s="248"/>
      <c r="L208" s="249"/>
      <c r="M208" s="248"/>
      <c r="N208" s="825">
        <v>61999999</v>
      </c>
      <c r="O208" s="72"/>
      <c r="P208" s="72"/>
      <c r="Q208" s="827">
        <v>1</v>
      </c>
      <c r="R208" s="72"/>
    </row>
    <row r="209" spans="1:18" ht="120">
      <c r="A209" s="241"/>
      <c r="B209" s="447" t="s">
        <v>1709</v>
      </c>
      <c r="C209" s="243"/>
      <c r="D209" s="825">
        <v>13103100</v>
      </c>
      <c r="E209" s="335" t="s">
        <v>1710</v>
      </c>
      <c r="F209" s="247"/>
      <c r="G209" s="447" t="s">
        <v>1709</v>
      </c>
      <c r="H209" s="825">
        <v>13103100</v>
      </c>
      <c r="I209" s="247"/>
      <c r="J209" s="826">
        <v>42187</v>
      </c>
      <c r="K209" s="248"/>
      <c r="L209" s="249"/>
      <c r="M209" s="248"/>
      <c r="N209" s="825">
        <v>13103100</v>
      </c>
      <c r="O209" s="72"/>
      <c r="P209" s="72"/>
      <c r="Q209" s="827">
        <v>1</v>
      </c>
      <c r="R209" s="72"/>
    </row>
    <row r="210" spans="1:18" ht="60">
      <c r="A210" s="241"/>
      <c r="B210" s="447" t="s">
        <v>1711</v>
      </c>
      <c r="C210" s="243"/>
      <c r="D210" s="825">
        <v>54381475</v>
      </c>
      <c r="E210" s="335" t="s">
        <v>394</v>
      </c>
      <c r="F210" s="247"/>
      <c r="G210" s="447" t="s">
        <v>1711</v>
      </c>
      <c r="H210" s="825">
        <v>54381475</v>
      </c>
      <c r="I210" s="247"/>
      <c r="J210" s="826">
        <v>42282</v>
      </c>
      <c r="K210" s="248"/>
      <c r="L210" s="249"/>
      <c r="M210" s="248"/>
      <c r="N210" s="825">
        <v>54381475</v>
      </c>
      <c r="O210" s="72"/>
      <c r="P210" s="72"/>
      <c r="Q210" s="827">
        <v>1</v>
      </c>
      <c r="R210" s="72"/>
    </row>
    <row r="211" spans="1:18" ht="60">
      <c r="A211" s="241"/>
      <c r="B211" s="447" t="s">
        <v>1712</v>
      </c>
      <c r="C211" s="243"/>
      <c r="D211" s="825">
        <v>57550365</v>
      </c>
      <c r="E211" s="335" t="s">
        <v>1530</v>
      </c>
      <c r="F211" s="247"/>
      <c r="G211" s="447" t="s">
        <v>1712</v>
      </c>
      <c r="H211" s="825">
        <v>57550365</v>
      </c>
      <c r="I211" s="247"/>
      <c r="J211" s="826">
        <v>42283</v>
      </c>
      <c r="K211" s="248"/>
      <c r="L211" s="249"/>
      <c r="M211" s="248"/>
      <c r="N211" s="825">
        <v>57550365</v>
      </c>
      <c r="O211" s="72"/>
      <c r="P211" s="72"/>
      <c r="Q211" s="827">
        <v>1</v>
      </c>
      <c r="R211" s="72"/>
    </row>
    <row r="212" spans="1:18" ht="60">
      <c r="A212" s="241"/>
      <c r="B212" s="447" t="s">
        <v>1713</v>
      </c>
      <c r="C212" s="243"/>
      <c r="D212" s="825">
        <v>76213200</v>
      </c>
      <c r="E212" s="335" t="s">
        <v>1530</v>
      </c>
      <c r="F212" s="247"/>
      <c r="G212" s="447" t="s">
        <v>1713</v>
      </c>
      <c r="H212" s="825">
        <v>76213200</v>
      </c>
      <c r="I212" s="247"/>
      <c r="J212" s="826">
        <v>42328</v>
      </c>
      <c r="K212" s="248"/>
      <c r="L212" s="249"/>
      <c r="M212" s="248"/>
      <c r="N212" s="825">
        <v>76213200</v>
      </c>
      <c r="O212" s="72"/>
      <c r="P212" s="72"/>
      <c r="Q212" s="827">
        <v>1</v>
      </c>
      <c r="R212" s="72"/>
    </row>
    <row r="213" spans="1:18" ht="75">
      <c r="A213" s="241">
        <v>213608010000002</v>
      </c>
      <c r="B213" s="242" t="s">
        <v>460</v>
      </c>
      <c r="C213" s="243"/>
      <c r="D213" s="243">
        <v>139616064</v>
      </c>
      <c r="E213" s="247"/>
      <c r="F213" s="247"/>
      <c r="G213" s="245"/>
      <c r="H213" s="246"/>
      <c r="I213" s="247"/>
      <c r="J213" s="247"/>
      <c r="K213" s="248"/>
      <c r="L213" s="249"/>
      <c r="M213" s="248"/>
      <c r="N213" s="250"/>
      <c r="O213" s="72"/>
      <c r="P213" s="72"/>
      <c r="Q213" s="827"/>
      <c r="R213" s="72"/>
    </row>
    <row r="214" spans="1:18" s="836" customFormat="1" ht="195">
      <c r="A214" s="849"/>
      <c r="B214" s="831" t="s">
        <v>1714</v>
      </c>
      <c r="C214" s="917"/>
      <c r="D214" s="833">
        <v>35701200</v>
      </c>
      <c r="E214" s="263" t="s">
        <v>170</v>
      </c>
      <c r="F214" s="263"/>
      <c r="G214" s="831" t="s">
        <v>1714</v>
      </c>
      <c r="H214" s="833">
        <v>35701200</v>
      </c>
      <c r="I214" s="271">
        <v>42039</v>
      </c>
      <c r="J214" s="835">
        <v>42075</v>
      </c>
      <c r="K214" s="300"/>
      <c r="L214" s="267">
        <v>0</v>
      </c>
      <c r="M214" s="300"/>
      <c r="N214" s="833">
        <v>35701200</v>
      </c>
      <c r="O214" s="832" t="s">
        <v>217</v>
      </c>
      <c r="P214" s="832"/>
      <c r="Q214" s="827">
        <v>1</v>
      </c>
      <c r="R214" s="918"/>
    </row>
    <row r="215" spans="1:18" s="836" customFormat="1" ht="120">
      <c r="A215" s="849"/>
      <c r="B215" s="831" t="s">
        <v>1715</v>
      </c>
      <c r="C215" s="917"/>
      <c r="D215" s="833">
        <v>48051728</v>
      </c>
      <c r="E215" s="263" t="s">
        <v>224</v>
      </c>
      <c r="F215" s="263"/>
      <c r="G215" s="831" t="s">
        <v>1715</v>
      </c>
      <c r="H215" s="833">
        <v>37960125</v>
      </c>
      <c r="I215" s="271">
        <v>42075</v>
      </c>
      <c r="J215" s="835">
        <v>42100</v>
      </c>
      <c r="L215" s="267">
        <v>0</v>
      </c>
      <c r="M215" s="300"/>
      <c r="N215" s="833">
        <v>37960125</v>
      </c>
      <c r="O215" s="832"/>
      <c r="P215" s="832"/>
      <c r="Q215" s="827">
        <v>1</v>
      </c>
      <c r="R215" s="918"/>
    </row>
    <row r="216" spans="1:18" s="836" customFormat="1" ht="135">
      <c r="A216" s="849"/>
      <c r="B216" s="831" t="s">
        <v>1716</v>
      </c>
      <c r="C216" s="917"/>
      <c r="D216" s="833">
        <v>55306800</v>
      </c>
      <c r="E216" s="335" t="s">
        <v>170</v>
      </c>
      <c r="F216" s="263"/>
      <c r="G216" s="831" t="s">
        <v>1716</v>
      </c>
      <c r="H216" s="833">
        <v>55306800</v>
      </c>
      <c r="I216" s="271">
        <v>42039</v>
      </c>
      <c r="J216" s="835">
        <v>42159</v>
      </c>
      <c r="K216" s="300"/>
      <c r="L216" s="267">
        <v>0</v>
      </c>
      <c r="M216" s="300"/>
      <c r="N216" s="833">
        <v>55306800</v>
      </c>
      <c r="O216" s="832"/>
      <c r="P216" s="832"/>
      <c r="Q216" s="827">
        <v>1</v>
      </c>
      <c r="R216" s="918"/>
    </row>
    <row r="217" spans="1:18" ht="60">
      <c r="A217" s="241">
        <v>213608010000003</v>
      </c>
      <c r="B217" s="242" t="s">
        <v>616</v>
      </c>
      <c r="C217" s="243"/>
      <c r="D217" s="243">
        <v>149563361</v>
      </c>
      <c r="E217" s="335" t="s">
        <v>170</v>
      </c>
      <c r="F217" s="247"/>
      <c r="G217" s="245"/>
      <c r="H217" s="246"/>
      <c r="I217" s="247"/>
      <c r="J217" s="247"/>
      <c r="K217" s="248"/>
      <c r="L217" s="249">
        <v>0</v>
      </c>
      <c r="M217" s="248"/>
      <c r="N217" s="250"/>
      <c r="O217" s="72"/>
      <c r="P217" s="72"/>
      <c r="Q217" s="827">
        <v>1</v>
      </c>
      <c r="R217" s="72"/>
    </row>
    <row r="218" spans="1:18" s="195" customFormat="1" ht="90">
      <c r="A218" s="317"/>
      <c r="B218" s="447" t="s">
        <v>1717</v>
      </c>
      <c r="C218" s="253"/>
      <c r="D218" s="825">
        <v>48953169</v>
      </c>
      <c r="E218" s="335" t="s">
        <v>170</v>
      </c>
      <c r="F218" s="278"/>
      <c r="G218" s="447" t="s">
        <v>1717</v>
      </c>
      <c r="H218" s="825">
        <v>48953169</v>
      </c>
      <c r="I218" s="255"/>
      <c r="J218" s="826">
        <v>42100</v>
      </c>
      <c r="K218" s="282"/>
      <c r="L218" s="249">
        <v>0</v>
      </c>
      <c r="M218" s="282"/>
      <c r="N218" s="825">
        <v>48953169</v>
      </c>
      <c r="O218" s="200"/>
      <c r="P218" s="200"/>
      <c r="Q218" s="827">
        <v>1</v>
      </c>
      <c r="R218" s="185"/>
    </row>
    <row r="219" spans="1:18" s="195" customFormat="1" ht="120">
      <c r="A219" s="317"/>
      <c r="B219" s="447" t="s">
        <v>1718</v>
      </c>
      <c r="C219" s="253"/>
      <c r="D219" s="825">
        <v>100014321</v>
      </c>
      <c r="E219" s="335" t="s">
        <v>170</v>
      </c>
      <c r="F219" s="278"/>
      <c r="G219" s="447" t="s">
        <v>1718</v>
      </c>
      <c r="H219" s="825">
        <v>100014321</v>
      </c>
      <c r="I219" s="255">
        <v>42074</v>
      </c>
      <c r="J219" s="826">
        <v>42195</v>
      </c>
      <c r="K219" s="282"/>
      <c r="L219" s="249">
        <v>0</v>
      </c>
      <c r="M219" s="282"/>
      <c r="N219" s="825">
        <v>100014321</v>
      </c>
      <c r="O219" s="200"/>
      <c r="P219" s="200"/>
      <c r="Q219" s="827">
        <v>1</v>
      </c>
      <c r="R219" s="681"/>
    </row>
    <row r="220" spans="1:18" ht="75">
      <c r="A220" s="241">
        <v>213608010000004</v>
      </c>
      <c r="B220" s="242" t="s">
        <v>617</v>
      </c>
      <c r="C220" s="243"/>
      <c r="D220" s="243">
        <v>340985967</v>
      </c>
      <c r="E220" s="335" t="s">
        <v>170</v>
      </c>
      <c r="F220" s="247"/>
      <c r="G220" s="245"/>
      <c r="H220" s="246"/>
      <c r="I220" s="247"/>
      <c r="J220" s="247"/>
      <c r="K220" s="248"/>
      <c r="L220" s="249">
        <v>0</v>
      </c>
      <c r="M220" s="248"/>
      <c r="N220" s="250"/>
      <c r="O220" s="72"/>
      <c r="P220" s="72"/>
      <c r="Q220" s="827">
        <v>1</v>
      </c>
      <c r="R220" s="72"/>
    </row>
    <row r="221" spans="1:18" ht="210">
      <c r="A221" s="241"/>
      <c r="B221" s="447" t="s">
        <v>1719</v>
      </c>
      <c r="C221" s="243"/>
      <c r="D221" s="825">
        <v>31753672</v>
      </c>
      <c r="E221" s="247" t="s">
        <v>170</v>
      </c>
      <c r="F221" s="247"/>
      <c r="G221" s="447" t="s">
        <v>1719</v>
      </c>
      <c r="H221" s="825">
        <v>31753672</v>
      </c>
      <c r="I221" s="247"/>
      <c r="J221" s="826">
        <v>42108</v>
      </c>
      <c r="K221" s="248"/>
      <c r="L221" s="249"/>
      <c r="M221" s="248"/>
      <c r="N221" s="825">
        <v>31753672</v>
      </c>
      <c r="O221" s="72"/>
      <c r="P221" s="72"/>
      <c r="Q221" s="827">
        <v>1</v>
      </c>
      <c r="R221" s="72"/>
    </row>
    <row r="222" spans="1:18" ht="150">
      <c r="A222" s="241"/>
      <c r="B222" s="447" t="s">
        <v>1720</v>
      </c>
      <c r="C222" s="243"/>
      <c r="D222" s="825">
        <v>59375000</v>
      </c>
      <c r="E222" s="335" t="s">
        <v>170</v>
      </c>
      <c r="F222" s="247"/>
      <c r="G222" s="447" t="s">
        <v>1720</v>
      </c>
      <c r="H222" s="825">
        <v>59375000</v>
      </c>
      <c r="I222" s="247"/>
      <c r="J222" s="826">
        <v>42135</v>
      </c>
      <c r="K222" s="248"/>
      <c r="L222" s="249"/>
      <c r="M222" s="248"/>
      <c r="N222" s="825">
        <v>59375000</v>
      </c>
      <c r="O222" s="72"/>
      <c r="P222" s="72"/>
      <c r="Q222" s="827">
        <v>1</v>
      </c>
      <c r="R222" s="72"/>
    </row>
    <row r="223" spans="1:18" ht="150">
      <c r="A223" s="241"/>
      <c r="B223" s="447" t="s">
        <v>1721</v>
      </c>
      <c r="C223" s="243"/>
      <c r="D223" s="825">
        <v>63451900</v>
      </c>
      <c r="E223" s="335" t="s">
        <v>170</v>
      </c>
      <c r="F223" s="247"/>
      <c r="G223" s="447" t="s">
        <v>1721</v>
      </c>
      <c r="H223" s="825">
        <v>63451900</v>
      </c>
      <c r="I223" s="247"/>
      <c r="J223" s="826">
        <v>42159</v>
      </c>
      <c r="K223" s="248"/>
      <c r="L223" s="249"/>
      <c r="M223" s="248"/>
      <c r="N223" s="825">
        <v>63451900</v>
      </c>
      <c r="O223" s="72"/>
      <c r="P223" s="72"/>
      <c r="Q223" s="827">
        <v>1</v>
      </c>
      <c r="R223" s="72"/>
    </row>
    <row r="224" spans="1:18" ht="195">
      <c r="A224" s="241"/>
      <c r="B224" s="447" t="s">
        <v>1722</v>
      </c>
      <c r="C224" s="243"/>
      <c r="D224" s="825">
        <v>29678500</v>
      </c>
      <c r="E224" s="247" t="s">
        <v>170</v>
      </c>
      <c r="F224" s="247"/>
      <c r="G224" s="447" t="s">
        <v>1722</v>
      </c>
      <c r="H224" s="825">
        <v>29678500</v>
      </c>
      <c r="I224" s="247"/>
      <c r="J224" s="826">
        <v>42164</v>
      </c>
      <c r="K224" s="248"/>
      <c r="L224" s="249"/>
      <c r="M224" s="248"/>
      <c r="N224" s="825">
        <v>29678500</v>
      </c>
      <c r="O224" s="72"/>
      <c r="P224" s="72"/>
      <c r="Q224" s="827">
        <v>1</v>
      </c>
      <c r="R224" s="72"/>
    </row>
    <row r="225" spans="1:18" ht="195">
      <c r="A225" s="241"/>
      <c r="B225" s="447" t="s">
        <v>1723</v>
      </c>
      <c r="C225" s="243"/>
      <c r="D225" s="825">
        <v>30000000</v>
      </c>
      <c r="E225" s="247" t="s">
        <v>170</v>
      </c>
      <c r="F225" s="247"/>
      <c r="G225" s="447" t="s">
        <v>1723</v>
      </c>
      <c r="H225" s="825">
        <v>30000000</v>
      </c>
      <c r="I225" s="247"/>
      <c r="J225" s="826">
        <v>42172</v>
      </c>
      <c r="K225" s="248"/>
      <c r="L225" s="249"/>
      <c r="M225" s="248"/>
      <c r="N225" s="825">
        <v>30000000</v>
      </c>
      <c r="O225" s="72"/>
      <c r="P225" s="72"/>
      <c r="Q225" s="827">
        <v>1</v>
      </c>
      <c r="R225" s="72"/>
    </row>
    <row r="226" spans="1:18" ht="105">
      <c r="A226" s="241"/>
      <c r="B226" s="447" t="s">
        <v>1724</v>
      </c>
      <c r="C226" s="243"/>
      <c r="D226" s="825">
        <v>4176000</v>
      </c>
      <c r="E226" s="335" t="s">
        <v>1725</v>
      </c>
      <c r="F226" s="247"/>
      <c r="G226" s="447" t="s">
        <v>1724</v>
      </c>
      <c r="H226" s="825">
        <v>4176000</v>
      </c>
      <c r="I226" s="247"/>
      <c r="J226" s="826">
        <v>42193</v>
      </c>
      <c r="K226" s="248"/>
      <c r="L226" s="249"/>
      <c r="M226" s="248"/>
      <c r="N226" s="825">
        <v>4176000</v>
      </c>
      <c r="O226" s="72"/>
      <c r="P226" s="72"/>
      <c r="Q226" s="827">
        <v>1</v>
      </c>
      <c r="R226" s="72"/>
    </row>
    <row r="227" spans="1:18" ht="105">
      <c r="A227" s="241"/>
      <c r="B227" s="447" t="s">
        <v>1726</v>
      </c>
      <c r="C227" s="243"/>
      <c r="D227" s="825">
        <v>9450000</v>
      </c>
      <c r="E227" s="335" t="s">
        <v>1727</v>
      </c>
      <c r="F227" s="247"/>
      <c r="G227" s="447" t="s">
        <v>1726</v>
      </c>
      <c r="H227" s="825">
        <v>9450000</v>
      </c>
      <c r="I227" s="247"/>
      <c r="J227" s="826">
        <v>42193</v>
      </c>
      <c r="K227" s="248"/>
      <c r="L227" s="249"/>
      <c r="M227" s="248"/>
      <c r="N227" s="825">
        <v>9450000</v>
      </c>
      <c r="O227" s="72"/>
      <c r="P227" s="72"/>
      <c r="Q227" s="827">
        <v>1</v>
      </c>
      <c r="R227" s="72"/>
    </row>
    <row r="228" spans="1:18" ht="150">
      <c r="A228" s="241"/>
      <c r="B228" s="447" t="s">
        <v>1728</v>
      </c>
      <c r="C228" s="243"/>
      <c r="D228" s="825">
        <v>42135458</v>
      </c>
      <c r="E228" s="335" t="s">
        <v>170</v>
      </c>
      <c r="F228" s="247"/>
      <c r="G228" s="447" t="s">
        <v>1728</v>
      </c>
      <c r="H228" s="825">
        <v>42135458</v>
      </c>
      <c r="I228" s="247"/>
      <c r="J228" s="826">
        <v>42285</v>
      </c>
      <c r="K228" s="248"/>
      <c r="L228" s="249"/>
      <c r="M228" s="248"/>
      <c r="N228" s="825">
        <v>42135458</v>
      </c>
      <c r="O228" s="72"/>
      <c r="P228" s="72"/>
      <c r="Q228" s="827">
        <v>1</v>
      </c>
      <c r="R228" s="72"/>
    </row>
    <row r="229" spans="1:18" ht="105">
      <c r="A229" s="241"/>
      <c r="B229" s="447" t="s">
        <v>1729</v>
      </c>
      <c r="C229" s="243"/>
      <c r="D229" s="825">
        <v>56210400</v>
      </c>
      <c r="E229" s="335" t="s">
        <v>170</v>
      </c>
      <c r="F229" s="247"/>
      <c r="G229" s="447" t="s">
        <v>1729</v>
      </c>
      <c r="H229" s="825">
        <v>56210400</v>
      </c>
      <c r="I229" s="247"/>
      <c r="J229" s="826">
        <v>42291</v>
      </c>
      <c r="K229" s="248"/>
      <c r="L229" s="249"/>
      <c r="M229" s="248"/>
      <c r="N229" s="825">
        <v>56210400</v>
      </c>
      <c r="O229" s="72"/>
      <c r="P229" s="72"/>
      <c r="Q229" s="827">
        <v>1</v>
      </c>
      <c r="R229" s="72"/>
    </row>
    <row r="230" spans="1:18" ht="75">
      <c r="A230" s="241"/>
      <c r="B230" s="447" t="s">
        <v>1730</v>
      </c>
      <c r="C230" s="243"/>
      <c r="D230" s="825">
        <v>5241240</v>
      </c>
      <c r="E230" s="335" t="s">
        <v>164</v>
      </c>
      <c r="F230" s="247"/>
      <c r="G230" s="447" t="s">
        <v>1730</v>
      </c>
      <c r="H230" s="825">
        <v>5241240</v>
      </c>
      <c r="I230" s="247"/>
      <c r="J230" s="826">
        <v>42347</v>
      </c>
      <c r="K230" s="248"/>
      <c r="L230" s="249"/>
      <c r="M230" s="248"/>
      <c r="N230" s="825">
        <v>5241240</v>
      </c>
      <c r="O230" s="72"/>
      <c r="P230" s="72"/>
      <c r="Q230" s="827">
        <v>1</v>
      </c>
      <c r="R230" s="72"/>
    </row>
    <row r="231" spans="1:18" ht="45">
      <c r="A231" s="241"/>
      <c r="B231" s="447" t="s">
        <v>1682</v>
      </c>
      <c r="C231" s="243"/>
      <c r="D231" s="825">
        <v>5952000</v>
      </c>
      <c r="E231" s="335" t="s">
        <v>1731</v>
      </c>
      <c r="F231" s="247"/>
      <c r="G231" s="447" t="s">
        <v>1682</v>
      </c>
      <c r="H231" s="825">
        <v>5952000</v>
      </c>
      <c r="I231" s="247"/>
      <c r="J231" s="826">
        <v>42348</v>
      </c>
      <c r="K231" s="248"/>
      <c r="L231" s="249"/>
      <c r="M231" s="248"/>
      <c r="N231" s="825">
        <v>5952000</v>
      </c>
      <c r="O231" s="72"/>
      <c r="P231" s="72"/>
      <c r="Q231" s="827">
        <v>1</v>
      </c>
      <c r="R231" s="72"/>
    </row>
    <row r="232" spans="1:18" ht="30">
      <c r="A232" s="241">
        <v>2.13608010000005E+16</v>
      </c>
      <c r="B232" s="242" t="s">
        <v>619</v>
      </c>
      <c r="C232" s="243"/>
      <c r="D232" s="243">
        <v>80000000</v>
      </c>
      <c r="E232" s="247"/>
      <c r="F232" s="247"/>
      <c r="G232" s="245"/>
      <c r="H232" s="246"/>
      <c r="I232" s="247"/>
      <c r="J232" s="247"/>
      <c r="K232" s="248"/>
      <c r="L232" s="249"/>
      <c r="M232" s="248"/>
      <c r="N232" s="250"/>
      <c r="O232" s="72"/>
      <c r="P232" s="72"/>
      <c r="Q232" s="827"/>
      <c r="R232" s="72"/>
    </row>
    <row r="233" spans="1:18" s="836" customFormat="1" ht="89.25" customHeight="1">
      <c r="A233" s="849"/>
      <c r="B233" s="831" t="s">
        <v>1732</v>
      </c>
      <c r="C233" s="321"/>
      <c r="D233" s="833">
        <v>63000000</v>
      </c>
      <c r="E233" s="919" t="s">
        <v>224</v>
      </c>
      <c r="F233" s="263"/>
      <c r="G233" s="831" t="s">
        <v>1732</v>
      </c>
      <c r="H233" s="833">
        <v>63000000</v>
      </c>
      <c r="I233" s="271">
        <v>42019</v>
      </c>
      <c r="J233" s="271">
        <v>42082</v>
      </c>
      <c r="K233" s="300"/>
      <c r="L233" s="267">
        <v>0</v>
      </c>
      <c r="M233" s="300"/>
      <c r="N233" s="833">
        <v>63000000</v>
      </c>
      <c r="O233" s="832" t="s">
        <v>217</v>
      </c>
      <c r="P233" s="832"/>
      <c r="Q233" s="827">
        <v>1</v>
      </c>
      <c r="R233" s="920"/>
    </row>
    <row r="234" spans="1:18" s="836" customFormat="1" ht="180">
      <c r="A234" s="849"/>
      <c r="B234" s="831" t="s">
        <v>1733</v>
      </c>
      <c r="C234" s="921"/>
      <c r="D234" s="833">
        <v>16681274</v>
      </c>
      <c r="E234" s="919" t="s">
        <v>170</v>
      </c>
      <c r="F234" s="263"/>
      <c r="G234" s="831" t="s">
        <v>1733</v>
      </c>
      <c r="H234" s="833">
        <v>6721115</v>
      </c>
      <c r="I234" s="263"/>
      <c r="J234" s="263"/>
      <c r="K234" s="300"/>
      <c r="L234" s="267">
        <v>0</v>
      </c>
      <c r="M234" s="300"/>
      <c r="N234" s="833">
        <v>6721115</v>
      </c>
      <c r="O234" s="832"/>
      <c r="P234" s="832"/>
      <c r="Q234" s="827">
        <v>1</v>
      </c>
      <c r="R234" s="920"/>
    </row>
    <row r="235" spans="1:18" ht="30">
      <c r="A235" s="241">
        <v>2.13608010000005E+16</v>
      </c>
      <c r="B235" s="242" t="s">
        <v>620</v>
      </c>
      <c r="C235" s="243"/>
      <c r="D235" s="243">
        <v>448152383</v>
      </c>
      <c r="E235" s="335"/>
      <c r="F235" s="247"/>
      <c r="G235" s="245"/>
      <c r="H235" s="246"/>
      <c r="I235" s="247"/>
      <c r="J235" s="247"/>
      <c r="K235" s="248"/>
      <c r="L235" s="249"/>
      <c r="M235" s="248"/>
      <c r="N235" s="250"/>
      <c r="O235" s="72"/>
      <c r="P235" s="72"/>
      <c r="Q235" s="827"/>
      <c r="R235" s="72"/>
    </row>
    <row r="236" spans="1:18" ht="90">
      <c r="A236" s="241"/>
      <c r="B236" s="447" t="s">
        <v>1734</v>
      </c>
      <c r="C236" s="243"/>
      <c r="D236" s="825">
        <v>64435000</v>
      </c>
      <c r="E236" s="335" t="s">
        <v>170</v>
      </c>
      <c r="F236" s="247"/>
      <c r="G236" s="447" t="s">
        <v>1734</v>
      </c>
      <c r="H236" s="825">
        <v>64435000</v>
      </c>
      <c r="I236" s="247"/>
      <c r="J236" s="826">
        <v>42048</v>
      </c>
      <c r="K236" s="248"/>
      <c r="L236" s="249"/>
      <c r="M236" s="248"/>
      <c r="N236" s="825">
        <v>64435000</v>
      </c>
      <c r="O236" s="72"/>
      <c r="P236" s="72"/>
      <c r="Q236" s="827">
        <v>1</v>
      </c>
      <c r="R236" s="72"/>
    </row>
    <row r="237" spans="1:18" ht="120">
      <c r="A237" s="241"/>
      <c r="B237" s="447" t="s">
        <v>1735</v>
      </c>
      <c r="C237" s="243"/>
      <c r="D237" s="825">
        <v>15000000</v>
      </c>
      <c r="E237" s="335" t="s">
        <v>170</v>
      </c>
      <c r="F237" s="247"/>
      <c r="G237" s="447" t="s">
        <v>1735</v>
      </c>
      <c r="H237" s="825">
        <v>15000000</v>
      </c>
      <c r="I237" s="247"/>
      <c r="J237" s="826">
        <v>42052</v>
      </c>
      <c r="K237" s="248"/>
      <c r="L237" s="249"/>
      <c r="M237" s="248"/>
      <c r="N237" s="825">
        <v>15000000</v>
      </c>
      <c r="O237" s="72"/>
      <c r="P237" s="72"/>
      <c r="Q237" s="827">
        <v>1</v>
      </c>
      <c r="R237" s="72"/>
    </row>
    <row r="238" spans="1:18" s="195" customFormat="1" ht="90">
      <c r="A238" s="317"/>
      <c r="B238" s="447" t="s">
        <v>1736</v>
      </c>
      <c r="C238" s="253"/>
      <c r="D238" s="825">
        <v>30000000</v>
      </c>
      <c r="E238" s="278" t="s">
        <v>170</v>
      </c>
      <c r="F238" s="278"/>
      <c r="G238" s="447" t="s">
        <v>1736</v>
      </c>
      <c r="H238" s="825">
        <v>30000000</v>
      </c>
      <c r="I238" s="281">
        <v>42034</v>
      </c>
      <c r="J238" s="826">
        <v>42059</v>
      </c>
      <c r="K238" s="282"/>
      <c r="L238" s="249">
        <v>0</v>
      </c>
      <c r="M238" s="282"/>
      <c r="N238" s="825">
        <v>30000000</v>
      </c>
      <c r="O238" s="200" t="s">
        <v>223</v>
      </c>
      <c r="P238" s="200"/>
      <c r="Q238" s="827">
        <v>1</v>
      </c>
      <c r="R238" s="681"/>
    </row>
    <row r="239" spans="1:18" ht="75">
      <c r="A239" s="241"/>
      <c r="B239" s="447" t="s">
        <v>1737</v>
      </c>
      <c r="C239" s="249"/>
      <c r="D239" s="825">
        <v>45000000</v>
      </c>
      <c r="E239" s="247" t="s">
        <v>621</v>
      </c>
      <c r="F239" s="247"/>
      <c r="G239" s="447" t="s">
        <v>1737</v>
      </c>
      <c r="H239" s="825">
        <v>45000000</v>
      </c>
      <c r="I239" s="255">
        <v>42052</v>
      </c>
      <c r="J239" s="826">
        <v>42075</v>
      </c>
      <c r="K239" s="248"/>
      <c r="L239" s="249">
        <v>0</v>
      </c>
      <c r="M239" s="248"/>
      <c r="N239" s="825">
        <v>45000000</v>
      </c>
      <c r="O239" s="72" t="s">
        <v>223</v>
      </c>
      <c r="P239" s="72"/>
      <c r="Q239" s="827">
        <v>1</v>
      </c>
      <c r="R239" s="681"/>
    </row>
    <row r="240" spans="1:18" s="195" customFormat="1" ht="80.25" customHeight="1">
      <c r="A240" s="317"/>
      <c r="B240" s="447" t="s">
        <v>1738</v>
      </c>
      <c r="C240" s="253"/>
      <c r="D240" s="825">
        <v>10000000</v>
      </c>
      <c r="E240" s="278" t="s">
        <v>170</v>
      </c>
      <c r="F240" s="278"/>
      <c r="G240" s="447" t="s">
        <v>1738</v>
      </c>
      <c r="H240" s="825">
        <v>10000000</v>
      </c>
      <c r="I240" s="281">
        <v>42034</v>
      </c>
      <c r="J240" s="826">
        <v>42075</v>
      </c>
      <c r="K240" s="282"/>
      <c r="L240" s="249">
        <v>0</v>
      </c>
      <c r="M240" s="282"/>
      <c r="N240" s="825">
        <v>10000000</v>
      </c>
      <c r="O240" s="200" t="s">
        <v>223</v>
      </c>
      <c r="P240" s="200"/>
      <c r="Q240" s="827">
        <v>1</v>
      </c>
      <c r="R240" s="681"/>
    </row>
    <row r="241" spans="1:18" s="195" customFormat="1" ht="60">
      <c r="A241" s="317"/>
      <c r="B241" s="447" t="s">
        <v>1739</v>
      </c>
      <c r="C241" s="253"/>
      <c r="D241" s="825">
        <v>10000000</v>
      </c>
      <c r="E241" s="278" t="s">
        <v>622</v>
      </c>
      <c r="F241" s="278"/>
      <c r="G241" s="447" t="s">
        <v>1739</v>
      </c>
      <c r="H241" s="825">
        <v>10000000</v>
      </c>
      <c r="I241" s="281">
        <v>42056</v>
      </c>
      <c r="J241" s="826">
        <v>42076</v>
      </c>
      <c r="K241" s="282"/>
      <c r="L241" s="249">
        <v>0</v>
      </c>
      <c r="M241" s="282"/>
      <c r="N241" s="825">
        <v>10000000</v>
      </c>
      <c r="O241" s="200" t="s">
        <v>223</v>
      </c>
      <c r="P241" s="200"/>
      <c r="Q241" s="827">
        <v>1</v>
      </c>
      <c r="R241" s="681"/>
    </row>
    <row r="242" spans="1:18" s="195" customFormat="1" ht="75">
      <c r="A242" s="317"/>
      <c r="B242" s="447" t="s">
        <v>1740</v>
      </c>
      <c r="C242" s="253"/>
      <c r="D242" s="825">
        <v>8000000</v>
      </c>
      <c r="E242" s="278" t="s">
        <v>623</v>
      </c>
      <c r="F242" s="278"/>
      <c r="G242" s="447" t="s">
        <v>1740</v>
      </c>
      <c r="H242" s="825">
        <v>8000000</v>
      </c>
      <c r="I242" s="281">
        <v>42055</v>
      </c>
      <c r="J242" s="826">
        <v>42076</v>
      </c>
      <c r="K242" s="282"/>
      <c r="L242" s="249">
        <v>0</v>
      </c>
      <c r="M242" s="282"/>
      <c r="N242" s="825">
        <v>8000000</v>
      </c>
      <c r="O242" s="200" t="s">
        <v>223</v>
      </c>
      <c r="P242" s="200"/>
      <c r="Q242" s="827">
        <v>1</v>
      </c>
      <c r="R242" s="681"/>
    </row>
    <row r="243" spans="1:18" s="195" customFormat="1" ht="75">
      <c r="A243" s="317"/>
      <c r="B243" s="447" t="s">
        <v>1741</v>
      </c>
      <c r="C243" s="253"/>
      <c r="D243" s="825">
        <v>10000000</v>
      </c>
      <c r="E243" s="278" t="s">
        <v>586</v>
      </c>
      <c r="F243" s="278"/>
      <c r="G243" s="447" t="s">
        <v>1741</v>
      </c>
      <c r="H243" s="825">
        <v>10000000</v>
      </c>
      <c r="I243" s="281">
        <v>42062</v>
      </c>
      <c r="J243" s="826">
        <v>42076</v>
      </c>
      <c r="K243" s="282"/>
      <c r="L243" s="249">
        <v>0</v>
      </c>
      <c r="M243" s="282"/>
      <c r="N243" s="825">
        <v>10000000</v>
      </c>
      <c r="O243" s="200" t="s">
        <v>223</v>
      </c>
      <c r="P243" s="200"/>
      <c r="Q243" s="827">
        <v>1</v>
      </c>
      <c r="R243" s="681"/>
    </row>
    <row r="244" spans="1:18" s="195" customFormat="1" ht="90">
      <c r="A244" s="317"/>
      <c r="B244" s="447" t="s">
        <v>1742</v>
      </c>
      <c r="C244" s="253"/>
      <c r="D244" s="825">
        <v>45000000</v>
      </c>
      <c r="E244" s="278" t="s">
        <v>618</v>
      </c>
      <c r="F244" s="278"/>
      <c r="G244" s="447" t="s">
        <v>1742</v>
      </c>
      <c r="H244" s="825">
        <v>45000000</v>
      </c>
      <c r="I244" s="281">
        <v>42062</v>
      </c>
      <c r="J244" s="826">
        <v>42076</v>
      </c>
      <c r="K244" s="282"/>
      <c r="L244" s="249">
        <v>0</v>
      </c>
      <c r="M244" s="282"/>
      <c r="N244" s="825">
        <v>45000000</v>
      </c>
      <c r="O244" s="200" t="s">
        <v>223</v>
      </c>
      <c r="P244" s="200"/>
      <c r="Q244" s="827">
        <v>1</v>
      </c>
      <c r="R244" s="681"/>
    </row>
    <row r="245" spans="1:18" s="195" customFormat="1" ht="60">
      <c r="A245" s="317"/>
      <c r="B245" s="447" t="s">
        <v>1743</v>
      </c>
      <c r="C245" s="253"/>
      <c r="D245" s="825">
        <v>45000000</v>
      </c>
      <c r="E245" s="278" t="s">
        <v>164</v>
      </c>
      <c r="F245" s="278"/>
      <c r="G245" s="447" t="s">
        <v>1743</v>
      </c>
      <c r="H245" s="825">
        <v>45000000</v>
      </c>
      <c r="I245" s="281">
        <v>42055</v>
      </c>
      <c r="J245" s="826">
        <v>42076</v>
      </c>
      <c r="K245" s="282"/>
      <c r="L245" s="249">
        <v>0</v>
      </c>
      <c r="M245" s="282"/>
      <c r="N245" s="825">
        <v>45000000</v>
      </c>
      <c r="O245" s="200" t="s">
        <v>223</v>
      </c>
      <c r="P245" s="200"/>
      <c r="Q245" s="827">
        <v>1</v>
      </c>
      <c r="R245" s="681"/>
    </row>
    <row r="246" spans="1:18" s="195" customFormat="1" ht="75">
      <c r="A246" s="317"/>
      <c r="B246" s="447" t="s">
        <v>1744</v>
      </c>
      <c r="C246" s="253"/>
      <c r="D246" s="825">
        <v>10000000</v>
      </c>
      <c r="E246" s="278" t="s">
        <v>163</v>
      </c>
      <c r="F246" s="278"/>
      <c r="G246" s="447" t="s">
        <v>1744</v>
      </c>
      <c r="H246" s="825">
        <v>10000000</v>
      </c>
      <c r="I246" s="281">
        <v>42056</v>
      </c>
      <c r="J246" s="826">
        <v>42076</v>
      </c>
      <c r="K246" s="282"/>
      <c r="L246" s="249">
        <v>0</v>
      </c>
      <c r="M246" s="282"/>
      <c r="N246" s="825">
        <v>10000000</v>
      </c>
      <c r="O246" s="200" t="s">
        <v>223</v>
      </c>
      <c r="P246" s="200"/>
      <c r="Q246" s="827">
        <v>1</v>
      </c>
      <c r="R246" s="681"/>
    </row>
    <row r="247" spans="1:18" s="195" customFormat="1" ht="75">
      <c r="A247" s="317"/>
      <c r="B247" s="447" t="s">
        <v>1745</v>
      </c>
      <c r="C247" s="253"/>
      <c r="D247" s="825">
        <v>14000000</v>
      </c>
      <c r="E247" s="278" t="s">
        <v>624</v>
      </c>
      <c r="F247" s="278"/>
      <c r="G247" s="447" t="s">
        <v>1745</v>
      </c>
      <c r="H247" s="825">
        <v>14000000</v>
      </c>
      <c r="I247" s="281">
        <v>42056</v>
      </c>
      <c r="J247" s="826">
        <v>42129</v>
      </c>
      <c r="K247" s="282"/>
      <c r="L247" s="249">
        <v>0</v>
      </c>
      <c r="M247" s="282"/>
      <c r="N247" s="825">
        <v>14000000</v>
      </c>
      <c r="O247" s="200" t="s">
        <v>223</v>
      </c>
      <c r="P247" s="200"/>
      <c r="Q247" s="827">
        <v>1</v>
      </c>
      <c r="R247" s="681"/>
    </row>
    <row r="248" spans="1:18" s="195" customFormat="1" ht="84" customHeight="1">
      <c r="A248" s="317"/>
      <c r="B248" s="447" t="s">
        <v>1746</v>
      </c>
      <c r="C248" s="253"/>
      <c r="D248" s="825">
        <v>15000000</v>
      </c>
      <c r="E248" s="278" t="s">
        <v>625</v>
      </c>
      <c r="F248" s="278"/>
      <c r="G248" s="447" t="s">
        <v>1746</v>
      </c>
      <c r="H248" s="825">
        <v>15000000</v>
      </c>
      <c r="I248" s="281">
        <v>42055</v>
      </c>
      <c r="J248" s="826">
        <v>42129</v>
      </c>
      <c r="K248" s="282"/>
      <c r="L248" s="249">
        <v>0</v>
      </c>
      <c r="M248" s="282"/>
      <c r="N248" s="825">
        <v>15000000</v>
      </c>
      <c r="O248" s="200" t="s">
        <v>223</v>
      </c>
      <c r="P248" s="200"/>
      <c r="Q248" s="827">
        <v>1</v>
      </c>
      <c r="R248" s="681"/>
    </row>
    <row r="249" spans="1:18" s="195" customFormat="1" ht="77.25" customHeight="1">
      <c r="A249" s="317"/>
      <c r="B249" s="447" t="s">
        <v>1747</v>
      </c>
      <c r="C249" s="253"/>
      <c r="D249" s="825">
        <v>10000000</v>
      </c>
      <c r="E249" s="289" t="s">
        <v>1748</v>
      </c>
      <c r="F249" s="278"/>
      <c r="G249" s="447" t="s">
        <v>1747</v>
      </c>
      <c r="H249" s="825">
        <v>10000000</v>
      </c>
      <c r="I249" s="281">
        <v>42090</v>
      </c>
      <c r="J249" s="826">
        <v>42135</v>
      </c>
      <c r="K249" s="282"/>
      <c r="L249" s="249">
        <v>0</v>
      </c>
      <c r="M249" s="282"/>
      <c r="N249" s="825">
        <v>10000000</v>
      </c>
      <c r="O249" s="200"/>
      <c r="P249" s="200"/>
      <c r="Q249" s="827">
        <v>1</v>
      </c>
      <c r="R249" s="681"/>
    </row>
    <row r="250" spans="1:18" s="195" customFormat="1" ht="77.25" customHeight="1">
      <c r="A250" s="317"/>
      <c r="B250" s="447" t="s">
        <v>1749</v>
      </c>
      <c r="C250" s="253"/>
      <c r="D250" s="825">
        <v>50000000</v>
      </c>
      <c r="E250" s="289" t="s">
        <v>1750</v>
      </c>
      <c r="F250" s="278"/>
      <c r="G250" s="447" t="s">
        <v>1749</v>
      </c>
      <c r="H250" s="825">
        <v>50000000</v>
      </c>
      <c r="I250" s="281">
        <v>42090</v>
      </c>
      <c r="J250" s="826">
        <v>42180</v>
      </c>
      <c r="K250" s="282"/>
      <c r="L250" s="249">
        <v>0</v>
      </c>
      <c r="M250" s="282"/>
      <c r="N250" s="825">
        <v>50000000</v>
      </c>
      <c r="O250" s="200"/>
      <c r="P250" s="200"/>
      <c r="Q250" s="827">
        <v>1</v>
      </c>
      <c r="R250" s="681"/>
    </row>
    <row r="251" spans="1:18" s="195" customFormat="1" ht="77.25" customHeight="1">
      <c r="A251" s="317"/>
      <c r="B251" s="447" t="s">
        <v>1751</v>
      </c>
      <c r="C251" s="253"/>
      <c r="D251" s="825">
        <v>28931915</v>
      </c>
      <c r="E251" s="289" t="s">
        <v>1752</v>
      </c>
      <c r="F251" s="278"/>
      <c r="G251" s="447" t="s">
        <v>1751</v>
      </c>
      <c r="H251" s="825">
        <v>28931915</v>
      </c>
      <c r="I251" s="281">
        <v>42175</v>
      </c>
      <c r="J251" s="826">
        <v>42193</v>
      </c>
      <c r="K251" s="282"/>
      <c r="L251" s="249">
        <v>0</v>
      </c>
      <c r="M251" s="282"/>
      <c r="N251" s="825">
        <v>28931915</v>
      </c>
      <c r="O251" s="200"/>
      <c r="P251" s="200"/>
      <c r="Q251" s="827">
        <v>1</v>
      </c>
      <c r="R251" s="922"/>
    </row>
    <row r="252" spans="1:18" s="195" customFormat="1" ht="77.25" customHeight="1">
      <c r="A252" s="317"/>
      <c r="B252" s="447" t="s">
        <v>1753</v>
      </c>
      <c r="C252" s="253"/>
      <c r="D252" s="825">
        <v>8000000</v>
      </c>
      <c r="E252" s="289" t="s">
        <v>1754</v>
      </c>
      <c r="F252" s="278"/>
      <c r="G252" s="447" t="s">
        <v>1753</v>
      </c>
      <c r="H252" s="825">
        <v>8000000</v>
      </c>
      <c r="I252" s="281">
        <v>42157</v>
      </c>
      <c r="J252" s="826">
        <v>42194</v>
      </c>
      <c r="K252" s="282"/>
      <c r="L252" s="249">
        <v>0</v>
      </c>
      <c r="M252" s="282"/>
      <c r="N252" s="825">
        <v>8000000</v>
      </c>
      <c r="O252" s="200"/>
      <c r="P252" s="200"/>
      <c r="Q252" s="827">
        <v>1</v>
      </c>
      <c r="R252" s="922"/>
    </row>
    <row r="253" spans="1:18" s="195" customFormat="1" ht="77.25" customHeight="1">
      <c r="A253" s="317"/>
      <c r="B253" s="447" t="s">
        <v>1755</v>
      </c>
      <c r="C253" s="253"/>
      <c r="D253" s="825">
        <v>18000000</v>
      </c>
      <c r="E253" s="289" t="s">
        <v>1756</v>
      </c>
      <c r="F253" s="278"/>
      <c r="G253" s="447" t="s">
        <v>1755</v>
      </c>
      <c r="H253" s="825">
        <v>18000000</v>
      </c>
      <c r="I253" s="281">
        <v>42157</v>
      </c>
      <c r="J253" s="826">
        <v>42194</v>
      </c>
      <c r="K253" s="282"/>
      <c r="L253" s="249">
        <v>0</v>
      </c>
      <c r="M253" s="282"/>
      <c r="N253" s="825">
        <v>18000000</v>
      </c>
      <c r="O253" s="200"/>
      <c r="P253" s="200"/>
      <c r="Q253" s="827">
        <v>1</v>
      </c>
      <c r="R253" s="922"/>
    </row>
    <row r="254" spans="1:18" s="195" customFormat="1" ht="90" hidden="1">
      <c r="A254" s="317"/>
      <c r="B254" s="447" t="s">
        <v>1757</v>
      </c>
      <c r="C254" s="253"/>
      <c r="D254" s="825">
        <v>10000000</v>
      </c>
      <c r="E254" s="278"/>
      <c r="F254" s="278"/>
      <c r="G254" s="447" t="s">
        <v>1757</v>
      </c>
      <c r="H254" s="825">
        <v>10000000</v>
      </c>
      <c r="I254" s="278"/>
      <c r="J254" s="826">
        <v>42194</v>
      </c>
      <c r="K254" s="282"/>
      <c r="L254" s="249">
        <v>0</v>
      </c>
      <c r="M254" s="282"/>
      <c r="N254" s="825">
        <v>10000000</v>
      </c>
      <c r="O254" s="200"/>
      <c r="P254" s="200"/>
      <c r="Q254" s="827">
        <v>1</v>
      </c>
      <c r="R254" s="200"/>
    </row>
    <row r="255" spans="1:18" ht="74.25" customHeight="1">
      <c r="A255" s="241">
        <v>2.13608010000005E+16</v>
      </c>
      <c r="B255" s="242" t="s">
        <v>626</v>
      </c>
      <c r="C255" s="243"/>
      <c r="D255" s="243">
        <v>20000000</v>
      </c>
      <c r="E255" s="335"/>
      <c r="F255" s="247"/>
      <c r="G255" s="274"/>
      <c r="H255" s="280"/>
      <c r="I255" s="281"/>
      <c r="J255" s="247"/>
      <c r="K255" s="248"/>
      <c r="L255" s="249"/>
      <c r="M255" s="248"/>
      <c r="N255" s="250"/>
      <c r="O255" s="72"/>
      <c r="P255" s="72"/>
      <c r="Q255" s="827"/>
      <c r="R255" s="681"/>
    </row>
    <row r="256" spans="1:18" ht="63.75">
      <c r="A256" s="241"/>
      <c r="B256" s="273" t="s">
        <v>627</v>
      </c>
      <c r="C256" s="249"/>
      <c r="D256" s="825">
        <v>19920077</v>
      </c>
      <c r="E256" s="335" t="s">
        <v>1758</v>
      </c>
      <c r="F256" s="247"/>
      <c r="G256" s="279" t="s">
        <v>627</v>
      </c>
      <c r="H256" s="825">
        <v>19920077</v>
      </c>
      <c r="I256" s="281">
        <v>42109</v>
      </c>
      <c r="J256" s="837">
        <v>42139</v>
      </c>
      <c r="K256" s="248"/>
      <c r="L256" s="249">
        <v>0</v>
      </c>
      <c r="M256" s="248"/>
      <c r="N256" s="825">
        <v>19920077</v>
      </c>
      <c r="O256" s="72"/>
      <c r="P256" s="72"/>
      <c r="Q256" s="827">
        <v>1</v>
      </c>
      <c r="R256" s="681"/>
    </row>
    <row r="257" spans="1:18">
      <c r="A257" s="241"/>
      <c r="B257" s="273" t="s">
        <v>1703</v>
      </c>
      <c r="C257" s="249"/>
      <c r="D257" s="249">
        <f>D255-D256</f>
        <v>79923</v>
      </c>
      <c r="E257" s="335"/>
      <c r="F257" s="247"/>
      <c r="G257" s="279"/>
      <c r="H257" s="280"/>
      <c r="I257" s="281"/>
      <c r="J257" s="247"/>
      <c r="K257" s="248"/>
      <c r="L257" s="249"/>
      <c r="M257" s="248"/>
      <c r="N257" s="250"/>
      <c r="O257" s="72"/>
      <c r="P257" s="72"/>
      <c r="Q257" s="827"/>
      <c r="R257" s="681"/>
    </row>
    <row r="258" spans="1:18" ht="90">
      <c r="A258" s="241">
        <v>213608010000007</v>
      </c>
      <c r="B258" s="242" t="s">
        <v>628</v>
      </c>
      <c r="C258" s="243"/>
      <c r="D258" s="243">
        <v>454004234</v>
      </c>
      <c r="E258" s="335" t="s">
        <v>170</v>
      </c>
      <c r="F258" s="247"/>
      <c r="G258" s="245"/>
      <c r="H258" s="246"/>
      <c r="I258" s="247"/>
      <c r="J258" s="247"/>
      <c r="K258" s="248"/>
      <c r="L258" s="249">
        <v>0</v>
      </c>
      <c r="M258" s="248"/>
      <c r="N258" s="250"/>
      <c r="O258" s="72"/>
      <c r="P258" s="72"/>
      <c r="Q258" s="827">
        <v>1</v>
      </c>
      <c r="R258" s="72"/>
    </row>
    <row r="259" spans="1:18" ht="75">
      <c r="A259" s="241"/>
      <c r="B259" s="447" t="s">
        <v>1759</v>
      </c>
      <c r="C259" s="243"/>
      <c r="D259" s="825">
        <v>45698548</v>
      </c>
      <c r="E259" s="335" t="s">
        <v>1731</v>
      </c>
      <c r="F259" s="247"/>
      <c r="G259" s="447" t="s">
        <v>1759</v>
      </c>
      <c r="H259" s="825">
        <v>45698548</v>
      </c>
      <c r="I259" s="247"/>
      <c r="J259" s="826">
        <v>42059</v>
      </c>
      <c r="K259" s="248"/>
      <c r="L259" s="249"/>
      <c r="M259" s="248"/>
      <c r="N259" s="825">
        <v>45698548</v>
      </c>
      <c r="O259" s="72"/>
      <c r="P259" s="72"/>
      <c r="Q259" s="827">
        <v>1</v>
      </c>
      <c r="R259" s="72"/>
    </row>
    <row r="260" spans="1:18" ht="150">
      <c r="A260" s="241"/>
      <c r="B260" s="447" t="s">
        <v>1760</v>
      </c>
      <c r="C260" s="243"/>
      <c r="D260" s="825">
        <v>64000000</v>
      </c>
      <c r="E260" s="335" t="s">
        <v>170</v>
      </c>
      <c r="F260" s="247"/>
      <c r="G260" s="447" t="s">
        <v>1760</v>
      </c>
      <c r="H260" s="825">
        <v>64000000</v>
      </c>
      <c r="I260" s="247"/>
      <c r="J260" s="826">
        <v>42076</v>
      </c>
      <c r="K260" s="248"/>
      <c r="L260" s="249"/>
      <c r="M260" s="248"/>
      <c r="N260" s="825">
        <v>64000000</v>
      </c>
      <c r="O260" s="72"/>
      <c r="P260" s="72"/>
      <c r="Q260" s="827">
        <v>1</v>
      </c>
      <c r="R260" s="72"/>
    </row>
    <row r="261" spans="1:18" ht="180">
      <c r="A261" s="241"/>
      <c r="B261" s="447" t="s">
        <v>1761</v>
      </c>
      <c r="C261" s="243"/>
      <c r="D261" s="825">
        <v>64000000</v>
      </c>
      <c r="E261" s="247" t="s">
        <v>170</v>
      </c>
      <c r="F261" s="247"/>
      <c r="G261" s="447" t="s">
        <v>1761</v>
      </c>
      <c r="H261" s="825">
        <v>64000000</v>
      </c>
      <c r="I261" s="247"/>
      <c r="J261" s="826">
        <v>42076</v>
      </c>
      <c r="K261" s="248"/>
      <c r="L261" s="249"/>
      <c r="M261" s="248"/>
      <c r="N261" s="825">
        <v>64000000</v>
      </c>
      <c r="O261" s="72"/>
      <c r="P261" s="72"/>
      <c r="Q261" s="827">
        <v>1</v>
      </c>
      <c r="R261" s="72"/>
    </row>
    <row r="262" spans="1:18" ht="75">
      <c r="A262" s="241"/>
      <c r="B262" s="447" t="s">
        <v>1762</v>
      </c>
      <c r="C262" s="243"/>
      <c r="D262" s="825">
        <v>39804240</v>
      </c>
      <c r="E262" s="335" t="s">
        <v>170</v>
      </c>
      <c r="F262" s="247"/>
      <c r="G262" s="447" t="s">
        <v>1762</v>
      </c>
      <c r="H262" s="825">
        <v>39804240</v>
      </c>
      <c r="I262" s="247"/>
      <c r="J262" s="826">
        <v>42083</v>
      </c>
      <c r="K262" s="248"/>
      <c r="L262" s="249"/>
      <c r="M262" s="248"/>
      <c r="N262" s="825">
        <v>39804240</v>
      </c>
      <c r="O262" s="72"/>
      <c r="P262" s="72"/>
      <c r="Q262" s="827">
        <v>1</v>
      </c>
      <c r="R262" s="72"/>
    </row>
    <row r="263" spans="1:18" ht="120">
      <c r="A263" s="241"/>
      <c r="B263" s="447" t="s">
        <v>1763</v>
      </c>
      <c r="C263" s="243"/>
      <c r="D263" s="825">
        <v>124148826</v>
      </c>
      <c r="E263" s="335" t="s">
        <v>1573</v>
      </c>
      <c r="F263" s="247"/>
      <c r="G263" s="447" t="s">
        <v>1763</v>
      </c>
      <c r="H263" s="825">
        <v>124148826</v>
      </c>
      <c r="I263" s="247"/>
      <c r="J263" s="826">
        <v>42117</v>
      </c>
      <c r="K263" s="248"/>
      <c r="L263" s="249"/>
      <c r="M263" s="248"/>
      <c r="N263" s="825">
        <v>124148826</v>
      </c>
      <c r="O263" s="72"/>
      <c r="P263" s="72"/>
      <c r="Q263" s="827">
        <v>1</v>
      </c>
      <c r="R263" s="72"/>
    </row>
    <row r="264" spans="1:18" ht="195">
      <c r="A264" s="241"/>
      <c r="B264" s="447" t="s">
        <v>1764</v>
      </c>
      <c r="C264" s="243"/>
      <c r="D264" s="825">
        <v>30000000</v>
      </c>
      <c r="E264" s="247" t="s">
        <v>170</v>
      </c>
      <c r="F264" s="247"/>
      <c r="G264" s="447" t="s">
        <v>1764</v>
      </c>
      <c r="H264" s="825">
        <v>30000000</v>
      </c>
      <c r="I264" s="247"/>
      <c r="J264" s="826">
        <v>42129</v>
      </c>
      <c r="K264" s="248"/>
      <c r="L264" s="249"/>
      <c r="M264" s="248"/>
      <c r="N264" s="825">
        <v>30000000</v>
      </c>
      <c r="O264" s="72"/>
      <c r="P264" s="72"/>
      <c r="Q264" s="827">
        <v>1</v>
      </c>
      <c r="R264" s="72"/>
    </row>
    <row r="265" spans="1:18" ht="135">
      <c r="A265" s="241"/>
      <c r="B265" s="447" t="s">
        <v>1765</v>
      </c>
      <c r="C265" s="243"/>
      <c r="D265" s="825">
        <v>24646184</v>
      </c>
      <c r="E265" s="335" t="s">
        <v>170</v>
      </c>
      <c r="F265" s="247"/>
      <c r="G265" s="447" t="s">
        <v>1765</v>
      </c>
      <c r="H265" s="825">
        <v>24646184</v>
      </c>
      <c r="I265" s="247"/>
      <c r="J265" s="826">
        <v>42135</v>
      </c>
      <c r="K265" s="248"/>
      <c r="L265" s="249"/>
      <c r="M265" s="248"/>
      <c r="N265" s="825">
        <v>24646184</v>
      </c>
      <c r="O265" s="72"/>
      <c r="P265" s="72"/>
      <c r="Q265" s="827">
        <v>1</v>
      </c>
      <c r="R265" s="72"/>
    </row>
    <row r="266" spans="1:18" ht="105">
      <c r="A266" s="241"/>
      <c r="B266" s="447" t="s">
        <v>1766</v>
      </c>
      <c r="C266" s="243"/>
      <c r="D266" s="825">
        <v>47192520</v>
      </c>
      <c r="E266" s="335" t="s">
        <v>170</v>
      </c>
      <c r="F266" s="247"/>
      <c r="G266" s="447" t="s">
        <v>1766</v>
      </c>
      <c r="H266" s="825">
        <v>47192520</v>
      </c>
      <c r="I266" s="247"/>
      <c r="J266" s="826">
        <v>42193</v>
      </c>
      <c r="K266" s="248"/>
      <c r="L266" s="249"/>
      <c r="M266" s="248"/>
      <c r="N266" s="825">
        <v>47192520</v>
      </c>
      <c r="O266" s="72"/>
      <c r="P266" s="72"/>
      <c r="Q266" s="827">
        <v>1</v>
      </c>
      <c r="R266" s="72"/>
    </row>
    <row r="267" spans="1:18" ht="150">
      <c r="A267" s="241"/>
      <c r="B267" s="447" t="s">
        <v>1767</v>
      </c>
      <c r="C267" s="243"/>
      <c r="D267" s="825">
        <v>7772000</v>
      </c>
      <c r="E267" s="335"/>
      <c r="F267" s="247"/>
      <c r="G267" s="447" t="s">
        <v>1767</v>
      </c>
      <c r="H267" s="825">
        <v>7772000</v>
      </c>
      <c r="I267" s="247"/>
      <c r="J267" s="826">
        <v>42209</v>
      </c>
      <c r="K267" s="248"/>
      <c r="L267" s="249"/>
      <c r="M267" s="248"/>
      <c r="N267" s="825">
        <v>7772000</v>
      </c>
      <c r="O267" s="72"/>
      <c r="P267" s="72"/>
      <c r="Q267" s="827">
        <v>1</v>
      </c>
      <c r="R267" s="72"/>
    </row>
    <row r="268" spans="1:18" ht="75">
      <c r="A268" s="241"/>
      <c r="B268" s="447" t="s">
        <v>1768</v>
      </c>
      <c r="C268" s="243"/>
      <c r="D268" s="825">
        <v>4791200</v>
      </c>
      <c r="E268" s="335" t="s">
        <v>1731</v>
      </c>
      <c r="F268" s="247"/>
      <c r="G268" s="447" t="s">
        <v>1768</v>
      </c>
      <c r="H268" s="825">
        <v>4791200</v>
      </c>
      <c r="I268" s="247"/>
      <c r="J268" s="826">
        <v>42327</v>
      </c>
      <c r="K268" s="248"/>
      <c r="L268" s="249"/>
      <c r="M268" s="248"/>
      <c r="N268" s="825">
        <v>4791200</v>
      </c>
      <c r="O268" s="72"/>
      <c r="P268" s="72"/>
      <c r="Q268" s="827">
        <v>1</v>
      </c>
      <c r="R268" s="72"/>
    </row>
    <row r="269" spans="1:18" ht="60">
      <c r="A269" s="241">
        <v>213608012</v>
      </c>
      <c r="B269" s="242" t="s">
        <v>629</v>
      </c>
      <c r="C269" s="243"/>
      <c r="D269" s="243">
        <v>14900001</v>
      </c>
      <c r="E269" s="335"/>
      <c r="F269" s="247"/>
      <c r="G269" s="245"/>
      <c r="H269" s="246"/>
      <c r="I269" s="247"/>
      <c r="J269" s="247"/>
      <c r="K269" s="248"/>
      <c r="L269" s="249"/>
      <c r="M269" s="248"/>
      <c r="N269" s="250"/>
      <c r="O269" s="72"/>
      <c r="P269" s="72"/>
      <c r="Q269" s="827"/>
      <c r="R269" s="72"/>
    </row>
    <row r="270" spans="1:18" ht="75">
      <c r="A270" s="241">
        <v>213608012000003</v>
      </c>
      <c r="B270" s="242" t="s">
        <v>630</v>
      </c>
      <c r="C270" s="243"/>
      <c r="D270" s="243">
        <v>14900001</v>
      </c>
      <c r="E270" s="335"/>
      <c r="F270" s="247"/>
      <c r="G270" s="245"/>
      <c r="H270" s="246"/>
      <c r="I270" s="247"/>
      <c r="J270" s="247"/>
      <c r="K270" s="248"/>
      <c r="L270" s="249"/>
      <c r="M270" s="248"/>
      <c r="N270" s="250"/>
      <c r="O270" s="72"/>
      <c r="P270" s="72"/>
      <c r="Q270" s="827"/>
      <c r="R270" s="72"/>
    </row>
    <row r="271" spans="1:18" ht="38.25">
      <c r="A271" s="241"/>
      <c r="B271" s="273" t="s">
        <v>1769</v>
      </c>
      <c r="C271" s="249"/>
      <c r="D271" s="825">
        <v>14900000</v>
      </c>
      <c r="E271" s="247" t="s">
        <v>274</v>
      </c>
      <c r="F271" s="247"/>
      <c r="G271" s="273" t="s">
        <v>1769</v>
      </c>
      <c r="H271" s="825">
        <v>14900000</v>
      </c>
      <c r="I271" s="281">
        <v>42109</v>
      </c>
      <c r="J271" s="826">
        <v>42135</v>
      </c>
      <c r="K271" s="248"/>
      <c r="L271" s="249">
        <v>0</v>
      </c>
      <c r="M271" s="248"/>
      <c r="N271" s="825">
        <v>14900000</v>
      </c>
      <c r="O271" s="72"/>
      <c r="P271" s="72"/>
      <c r="Q271" s="827">
        <v>1</v>
      </c>
      <c r="R271" s="681"/>
    </row>
    <row r="272" spans="1:18" s="935" customFormat="1" ht="25.5">
      <c r="A272" s="923"/>
      <c r="B272" s="924" t="s">
        <v>1770</v>
      </c>
      <c r="C272" s="925" t="s">
        <v>1771</v>
      </c>
      <c r="D272" s="926">
        <v>63500000</v>
      </c>
      <c r="E272" s="335" t="s">
        <v>170</v>
      </c>
      <c r="F272" s="927"/>
      <c r="G272" s="928"/>
      <c r="H272" s="929"/>
      <c r="I272" s="930"/>
      <c r="J272" s="930"/>
      <c r="K272" s="931"/>
      <c r="L272" s="249">
        <v>0</v>
      </c>
      <c r="M272" s="931"/>
      <c r="N272" s="932"/>
      <c r="O272" s="933"/>
      <c r="P272" s="933"/>
      <c r="Q272" s="827">
        <v>1</v>
      </c>
      <c r="R272" s="934"/>
    </row>
    <row r="273" spans="1:18" s="944" customFormat="1" ht="63.75">
      <c r="A273" s="936"/>
      <c r="B273" s="937" t="s">
        <v>1772</v>
      </c>
      <c r="C273" s="272">
        <v>63150000</v>
      </c>
      <c r="D273" s="825">
        <v>63150000</v>
      </c>
      <c r="E273" s="335" t="s">
        <v>170</v>
      </c>
      <c r="F273" s="938"/>
      <c r="G273" s="939"/>
      <c r="H273" s="825">
        <v>63150000</v>
      </c>
      <c r="I273" s="940"/>
      <c r="J273" s="826">
        <v>42284</v>
      </c>
      <c r="K273" s="941"/>
      <c r="L273" s="267"/>
      <c r="M273" s="941"/>
      <c r="N273" s="825">
        <v>63150000</v>
      </c>
      <c r="O273" s="942"/>
      <c r="P273" s="942"/>
      <c r="Q273" s="827">
        <v>1</v>
      </c>
      <c r="R273" s="943"/>
    </row>
    <row r="274" spans="1:18" s="836" customFormat="1" ht="60.75" customHeight="1">
      <c r="A274" s="849">
        <v>213608031</v>
      </c>
      <c r="B274" s="257" t="s">
        <v>631</v>
      </c>
      <c r="C274" s="272"/>
      <c r="D274" s="272">
        <f>+D275+D278+D282+D284</f>
        <v>25818000</v>
      </c>
      <c r="E274" s="335"/>
      <c r="F274" s="263"/>
      <c r="G274" s="851"/>
      <c r="H274" s="265"/>
      <c r="I274" s="263"/>
      <c r="J274" s="263"/>
      <c r="K274" s="300"/>
      <c r="L274" s="249"/>
      <c r="M274" s="300"/>
      <c r="N274" s="268"/>
      <c r="O274" s="832"/>
      <c r="P274" s="832"/>
      <c r="Q274" s="827"/>
      <c r="R274" s="832"/>
    </row>
    <row r="275" spans="1:18" s="836" customFormat="1" ht="30">
      <c r="A275" s="849">
        <v>213608031000003</v>
      </c>
      <c r="B275" s="257" t="s">
        <v>632</v>
      </c>
      <c r="C275" s="272"/>
      <c r="D275" s="272">
        <v>8000000</v>
      </c>
      <c r="E275" s="335"/>
      <c r="F275" s="263"/>
      <c r="G275" s="851"/>
      <c r="H275" s="265"/>
      <c r="I275" s="263"/>
      <c r="J275" s="263"/>
      <c r="K275" s="300"/>
      <c r="L275" s="249"/>
      <c r="M275" s="300"/>
      <c r="N275" s="268"/>
      <c r="O275" s="832"/>
      <c r="P275" s="832"/>
      <c r="Q275" s="827"/>
      <c r="R275" s="832"/>
    </row>
    <row r="276" spans="1:18" s="836" customFormat="1" ht="114.75">
      <c r="A276" s="849"/>
      <c r="B276" s="322" t="s">
        <v>633</v>
      </c>
      <c r="C276" s="825"/>
      <c r="D276" s="945">
        <v>7968096</v>
      </c>
      <c r="E276" s="263" t="s">
        <v>165</v>
      </c>
      <c r="F276" s="263"/>
      <c r="G276" s="264" t="s">
        <v>634</v>
      </c>
      <c r="H276" s="945">
        <v>7968096</v>
      </c>
      <c r="I276" s="263" t="s">
        <v>4</v>
      </c>
      <c r="J276" s="826">
        <v>42075</v>
      </c>
      <c r="K276" s="946"/>
      <c r="L276" s="249">
        <v>0</v>
      </c>
      <c r="M276" s="300"/>
      <c r="N276" s="945">
        <v>7968096</v>
      </c>
      <c r="O276" s="832"/>
      <c r="P276" s="832"/>
      <c r="Q276" s="827">
        <v>1</v>
      </c>
      <c r="R276" s="832"/>
    </row>
    <row r="277" spans="1:18" s="836" customFormat="1">
      <c r="A277" s="849"/>
      <c r="B277" s="322" t="s">
        <v>1703</v>
      </c>
      <c r="C277" s="947"/>
      <c r="D277" s="945">
        <f>D275-D276</f>
        <v>31904</v>
      </c>
      <c r="E277" s="335"/>
      <c r="F277" s="263"/>
      <c r="G277" s="264"/>
      <c r="H277" s="265"/>
      <c r="I277" s="263"/>
      <c r="J277" s="263"/>
      <c r="K277" s="300"/>
      <c r="L277" s="249"/>
      <c r="M277" s="300"/>
      <c r="N277" s="948"/>
      <c r="O277" s="832"/>
      <c r="P277" s="832"/>
      <c r="Q277" s="827"/>
      <c r="R277" s="832"/>
    </row>
    <row r="278" spans="1:18" s="836" customFormat="1">
      <c r="A278" s="849">
        <v>2.13608031000005E+16</v>
      </c>
      <c r="B278" s="257" t="s">
        <v>92</v>
      </c>
      <c r="C278" s="272"/>
      <c r="D278" s="272">
        <v>7575600</v>
      </c>
      <c r="E278" s="335"/>
      <c r="F278" s="263"/>
      <c r="G278" s="851"/>
      <c r="H278" s="265"/>
      <c r="I278" s="263"/>
      <c r="J278" s="263"/>
      <c r="K278" s="300"/>
      <c r="L278" s="249"/>
      <c r="M278" s="300"/>
      <c r="N278" s="268"/>
      <c r="O278" s="832"/>
      <c r="P278" s="832"/>
      <c r="Q278" s="827"/>
      <c r="R278" s="832"/>
    </row>
    <row r="279" spans="1:18" s="950" customFormat="1" ht="75">
      <c r="A279" s="949"/>
      <c r="B279" s="447" t="s">
        <v>1773</v>
      </c>
      <c r="C279" s="321"/>
      <c r="D279" s="825">
        <v>2000000</v>
      </c>
      <c r="E279" s="335" t="s">
        <v>1774</v>
      </c>
      <c r="F279" s="262"/>
      <c r="G279" s="447" t="s">
        <v>1773</v>
      </c>
      <c r="H279" s="825">
        <v>2000000</v>
      </c>
      <c r="I279" s="262"/>
      <c r="J279" s="826">
        <v>42165</v>
      </c>
      <c r="K279" s="940"/>
      <c r="L279" s="249">
        <v>0</v>
      </c>
      <c r="M279" s="882"/>
      <c r="N279" s="825">
        <v>2000000</v>
      </c>
      <c r="O279" s="943"/>
      <c r="P279" s="943"/>
      <c r="Q279" s="827">
        <v>1</v>
      </c>
      <c r="R279" s="943"/>
    </row>
    <row r="280" spans="1:18" s="950" customFormat="1" ht="90">
      <c r="A280" s="949"/>
      <c r="B280" s="447" t="s">
        <v>635</v>
      </c>
      <c r="C280" s="321"/>
      <c r="D280" s="825">
        <v>3960000</v>
      </c>
      <c r="E280" s="262" t="s">
        <v>621</v>
      </c>
      <c r="F280" s="262"/>
      <c r="G280" s="447" t="s">
        <v>635</v>
      </c>
      <c r="H280" s="825">
        <v>3960000</v>
      </c>
      <c r="I280" s="262"/>
      <c r="J280" s="826">
        <v>42220</v>
      </c>
      <c r="K280" s="940"/>
      <c r="L280" s="249">
        <v>0</v>
      </c>
      <c r="M280" s="882"/>
      <c r="N280" s="825">
        <v>3960000</v>
      </c>
      <c r="O280" s="943"/>
      <c r="P280" s="943"/>
      <c r="Q280" s="827">
        <v>1</v>
      </c>
      <c r="R280" s="943"/>
    </row>
    <row r="281" spans="1:18" s="950" customFormat="1" ht="75">
      <c r="A281" s="949"/>
      <c r="B281" s="447" t="s">
        <v>1775</v>
      </c>
      <c r="C281" s="321"/>
      <c r="D281" s="825">
        <v>1575600</v>
      </c>
      <c r="E281" s="335" t="s">
        <v>1774</v>
      </c>
      <c r="F281" s="262"/>
      <c r="G281" s="447" t="s">
        <v>1775</v>
      </c>
      <c r="H281" s="825">
        <v>1575600</v>
      </c>
      <c r="I281" s="262"/>
      <c r="J281" s="826">
        <v>42338</v>
      </c>
      <c r="K281" s="882"/>
      <c r="L281" s="249">
        <v>0</v>
      </c>
      <c r="M281" s="882"/>
      <c r="N281" s="825">
        <v>1575600</v>
      </c>
      <c r="O281" s="943"/>
      <c r="P281" s="943"/>
      <c r="Q281" s="827">
        <v>1</v>
      </c>
      <c r="R281" s="943"/>
    </row>
    <row r="282" spans="1:18" s="836" customFormat="1" ht="30">
      <c r="A282" s="849">
        <v>2.13608031000005E+16</v>
      </c>
      <c r="B282" s="257" t="s">
        <v>636</v>
      </c>
      <c r="C282" s="272"/>
      <c r="D282" s="272">
        <v>6242400</v>
      </c>
      <c r="E282" s="951"/>
      <c r="F282" s="263"/>
      <c r="G282" s="851"/>
      <c r="H282" s="265"/>
      <c r="I282" s="263"/>
      <c r="J282" s="263"/>
      <c r="K282" s="300"/>
      <c r="L282" s="249"/>
      <c r="M282" s="300"/>
      <c r="N282" s="268"/>
      <c r="O282" s="832"/>
      <c r="P282" s="832"/>
      <c r="Q282" s="827"/>
      <c r="R282" s="832"/>
    </row>
    <row r="283" spans="1:18" s="950" customFormat="1" ht="75">
      <c r="A283" s="949"/>
      <c r="B283" s="447" t="s">
        <v>1776</v>
      </c>
      <c r="C283" s="952"/>
      <c r="D283" s="825">
        <v>5593277</v>
      </c>
      <c r="E283" s="262" t="s">
        <v>621</v>
      </c>
      <c r="F283" s="262"/>
      <c r="G283" s="447" t="s">
        <v>1776</v>
      </c>
      <c r="H283" s="825">
        <v>5593277</v>
      </c>
      <c r="I283" s="262"/>
      <c r="J283" s="826">
        <v>42206</v>
      </c>
      <c r="K283" s="262" t="s">
        <v>1777</v>
      </c>
      <c r="L283" s="249">
        <v>0</v>
      </c>
      <c r="M283" s="882"/>
      <c r="N283" s="825">
        <v>5593277</v>
      </c>
      <c r="O283" s="943"/>
      <c r="P283" s="943"/>
      <c r="Q283" s="827">
        <v>1</v>
      </c>
      <c r="R283" s="943"/>
    </row>
    <row r="284" spans="1:18" s="836" customFormat="1" ht="30">
      <c r="A284" s="849">
        <v>2.13608031000005E+16</v>
      </c>
      <c r="B284" s="257" t="s">
        <v>637</v>
      </c>
      <c r="C284" s="272"/>
      <c r="D284" s="272">
        <v>4000000</v>
      </c>
      <c r="E284" s="335"/>
      <c r="F284" s="263"/>
      <c r="G284" s="851"/>
      <c r="H284" s="265"/>
      <c r="I284" s="263"/>
      <c r="J284" s="263"/>
      <c r="K284" s="300"/>
      <c r="L284" s="249"/>
      <c r="M284" s="300"/>
      <c r="N284" s="268"/>
      <c r="O284" s="832"/>
      <c r="P284" s="832"/>
      <c r="Q284" s="827"/>
      <c r="R284" s="832"/>
    </row>
    <row r="285" spans="1:18" s="950" customFormat="1" ht="63.75">
      <c r="A285" s="949"/>
      <c r="B285" s="322" t="s">
        <v>638</v>
      </c>
      <c r="C285" s="952"/>
      <c r="D285" s="953">
        <v>4000000</v>
      </c>
      <c r="E285" s="262" t="s">
        <v>621</v>
      </c>
      <c r="F285" s="262"/>
      <c r="G285" s="322" t="s">
        <v>638</v>
      </c>
      <c r="H285" s="954"/>
      <c r="I285" s="940"/>
      <c r="J285" s="940"/>
      <c r="K285" s="882"/>
      <c r="L285" s="249">
        <v>0</v>
      </c>
      <c r="M285" s="882"/>
      <c r="N285" s="955"/>
      <c r="O285" s="943"/>
      <c r="P285" s="943"/>
      <c r="Q285" s="827">
        <v>0</v>
      </c>
      <c r="R285" s="956" t="s">
        <v>1778</v>
      </c>
    </row>
    <row r="286" spans="1:18" s="950" customFormat="1">
      <c r="A286" s="949"/>
      <c r="B286" s="322" t="s">
        <v>1779</v>
      </c>
      <c r="C286" s="952"/>
      <c r="D286" s="953">
        <v>4000000</v>
      </c>
      <c r="E286" s="335" t="s">
        <v>170</v>
      </c>
      <c r="F286" s="262"/>
      <c r="G286" s="322"/>
      <c r="H286" s="954"/>
      <c r="I286" s="262"/>
      <c r="J286" s="262"/>
      <c r="K286" s="882"/>
      <c r="L286" s="249">
        <v>0</v>
      </c>
      <c r="M286" s="882"/>
      <c r="N286" s="955"/>
      <c r="O286" s="943"/>
      <c r="P286" s="943"/>
      <c r="Q286" s="827">
        <v>1</v>
      </c>
      <c r="R286" s="943"/>
    </row>
    <row r="287" spans="1:18" s="967" customFormat="1" ht="63.75">
      <c r="A287" s="957"/>
      <c r="B287" s="958" t="s">
        <v>47</v>
      </c>
      <c r="C287" s="959"/>
      <c r="D287" s="960" t="s">
        <v>1780</v>
      </c>
      <c r="E287" s="884"/>
      <c r="F287" s="961"/>
      <c r="G287" s="962"/>
      <c r="H287" s="963"/>
      <c r="I287" s="961"/>
      <c r="J287" s="961"/>
      <c r="K287" s="964"/>
      <c r="L287" s="885"/>
      <c r="M287" s="964"/>
      <c r="N287" s="965"/>
      <c r="O287" s="966"/>
      <c r="P287" s="966"/>
      <c r="Q287" s="886"/>
      <c r="R287" s="966"/>
    </row>
    <row r="288" spans="1:18" s="950" customFormat="1" ht="75">
      <c r="A288" s="949"/>
      <c r="B288" s="831" t="s">
        <v>1781</v>
      </c>
      <c r="C288" s="952"/>
      <c r="D288" s="833">
        <v>3330600</v>
      </c>
      <c r="E288" s="335" t="s">
        <v>1782</v>
      </c>
      <c r="F288" s="262"/>
      <c r="G288" s="831" t="s">
        <v>1781</v>
      </c>
      <c r="H288" s="833">
        <v>3330600</v>
      </c>
      <c r="I288" s="262"/>
      <c r="J288" s="835">
        <v>42286</v>
      </c>
      <c r="K288" s="882"/>
      <c r="L288" s="267"/>
      <c r="M288" s="882"/>
      <c r="N288" s="833">
        <v>3330600</v>
      </c>
      <c r="O288" s="943"/>
      <c r="P288" s="943"/>
      <c r="Q288" s="827">
        <v>1</v>
      </c>
      <c r="R288" s="943"/>
    </row>
    <row r="289" spans="1:18" s="950" customFormat="1" ht="75">
      <c r="A289" s="949"/>
      <c r="B289" s="831" t="s">
        <v>1783</v>
      </c>
      <c r="C289" s="952"/>
      <c r="D289" s="833">
        <v>6661200</v>
      </c>
      <c r="E289" s="335" t="s">
        <v>164</v>
      </c>
      <c r="F289" s="262"/>
      <c r="G289" s="831" t="s">
        <v>1783</v>
      </c>
      <c r="H289" s="833">
        <v>6661200</v>
      </c>
      <c r="I289" s="262"/>
      <c r="J289" s="835">
        <v>42290</v>
      </c>
      <c r="K289" s="882"/>
      <c r="L289" s="267"/>
      <c r="M289" s="882"/>
      <c r="N289" s="833">
        <v>6661200</v>
      </c>
      <c r="O289" s="943"/>
      <c r="P289" s="943"/>
      <c r="Q289" s="827">
        <v>1</v>
      </c>
      <c r="R289" s="943"/>
    </row>
    <row r="290" spans="1:18" s="950" customFormat="1" ht="75">
      <c r="A290" s="949"/>
      <c r="B290" s="831" t="s">
        <v>1784</v>
      </c>
      <c r="C290" s="952"/>
      <c r="D290" s="833">
        <v>5978000</v>
      </c>
      <c r="E290" s="335" t="s">
        <v>170</v>
      </c>
      <c r="F290" s="262"/>
      <c r="G290" s="831" t="s">
        <v>1784</v>
      </c>
      <c r="H290" s="833">
        <v>5978000</v>
      </c>
      <c r="I290" s="262"/>
      <c r="J290" s="835">
        <v>42297</v>
      </c>
      <c r="K290" s="882"/>
      <c r="L290" s="267"/>
      <c r="M290" s="882"/>
      <c r="N290" s="833">
        <v>5978000</v>
      </c>
      <c r="O290" s="943"/>
      <c r="P290" s="943"/>
      <c r="Q290" s="827">
        <v>1</v>
      </c>
      <c r="R290" s="943"/>
    </row>
    <row r="291" spans="1:18" s="950" customFormat="1" ht="60">
      <c r="A291" s="949"/>
      <c r="B291" s="831" t="s">
        <v>1785</v>
      </c>
      <c r="C291" s="952"/>
      <c r="D291" s="833">
        <v>5978000</v>
      </c>
      <c r="E291" s="335" t="s">
        <v>394</v>
      </c>
      <c r="F291" s="262"/>
      <c r="G291" s="831" t="s">
        <v>1785</v>
      </c>
      <c r="H291" s="833">
        <v>5978000</v>
      </c>
      <c r="I291" s="262"/>
      <c r="J291" s="835">
        <v>42297</v>
      </c>
      <c r="K291" s="882"/>
      <c r="L291" s="267"/>
      <c r="M291" s="882"/>
      <c r="N291" s="833">
        <v>5978000</v>
      </c>
      <c r="O291" s="943"/>
      <c r="P291" s="943"/>
      <c r="Q291" s="827">
        <v>1</v>
      </c>
      <c r="R291" s="943"/>
    </row>
    <row r="292" spans="1:18" s="950" customFormat="1" ht="75">
      <c r="A292" s="949"/>
      <c r="B292" s="831" t="s">
        <v>1786</v>
      </c>
      <c r="C292" s="952"/>
      <c r="D292" s="833">
        <v>5978000</v>
      </c>
      <c r="E292" s="335" t="s">
        <v>170</v>
      </c>
      <c r="F292" s="262"/>
      <c r="G292" s="831" t="s">
        <v>1786</v>
      </c>
      <c r="H292" s="833">
        <v>5978000</v>
      </c>
      <c r="I292" s="262"/>
      <c r="J292" s="835">
        <v>42297</v>
      </c>
      <c r="K292" s="882"/>
      <c r="L292" s="267"/>
      <c r="M292" s="882"/>
      <c r="N292" s="833">
        <v>5978000</v>
      </c>
      <c r="O292" s="943"/>
      <c r="P292" s="943"/>
      <c r="Q292" s="827">
        <v>1</v>
      </c>
      <c r="R292" s="943"/>
    </row>
    <row r="293" spans="1:18" s="950" customFormat="1" ht="60">
      <c r="A293" s="949"/>
      <c r="B293" s="831" t="s">
        <v>1785</v>
      </c>
      <c r="C293" s="952"/>
      <c r="D293" s="833">
        <v>5978000</v>
      </c>
      <c r="E293" s="335" t="s">
        <v>394</v>
      </c>
      <c r="F293" s="262"/>
      <c r="G293" s="831" t="s">
        <v>1785</v>
      </c>
      <c r="H293" s="833">
        <v>5978000</v>
      </c>
      <c r="I293" s="262"/>
      <c r="J293" s="835">
        <v>42297</v>
      </c>
      <c r="K293" s="882"/>
      <c r="L293" s="267"/>
      <c r="M293" s="882"/>
      <c r="N293" s="833">
        <v>5978000</v>
      </c>
      <c r="O293" s="943"/>
      <c r="P293" s="943"/>
      <c r="Q293" s="827">
        <v>1</v>
      </c>
      <c r="R293" s="943"/>
    </row>
    <row r="294" spans="1:18" s="950" customFormat="1" ht="30">
      <c r="A294" s="949"/>
      <c r="B294" s="831" t="s">
        <v>1787</v>
      </c>
      <c r="C294" s="952"/>
      <c r="D294" s="833">
        <v>5978000</v>
      </c>
      <c r="E294" s="335" t="s">
        <v>1788</v>
      </c>
      <c r="F294" s="262"/>
      <c r="G294" s="831" t="s">
        <v>1787</v>
      </c>
      <c r="H294" s="833">
        <v>5978000</v>
      </c>
      <c r="I294" s="262"/>
      <c r="J294" s="835">
        <v>42312</v>
      </c>
      <c r="K294" s="882"/>
      <c r="L294" s="267"/>
      <c r="M294" s="882"/>
      <c r="N294" s="833">
        <v>5978000</v>
      </c>
      <c r="O294" s="943"/>
      <c r="P294" s="943"/>
      <c r="Q294" s="827">
        <v>1</v>
      </c>
      <c r="R294" s="943"/>
    </row>
    <row r="295" spans="1:18" s="950" customFormat="1" ht="75">
      <c r="A295" s="949"/>
      <c r="B295" s="831" t="s">
        <v>1784</v>
      </c>
      <c r="C295" s="952"/>
      <c r="D295" s="833">
        <v>5978000</v>
      </c>
      <c r="E295" s="335" t="s">
        <v>170</v>
      </c>
      <c r="F295" s="262"/>
      <c r="G295" s="831" t="s">
        <v>1784</v>
      </c>
      <c r="H295" s="833">
        <v>5978000</v>
      </c>
      <c r="I295" s="262"/>
      <c r="J295" s="835">
        <v>42300</v>
      </c>
      <c r="K295" s="882"/>
      <c r="L295" s="267"/>
      <c r="M295" s="882"/>
      <c r="N295" s="833">
        <v>5978000</v>
      </c>
      <c r="O295" s="943"/>
      <c r="P295" s="943"/>
      <c r="Q295" s="827">
        <v>1</v>
      </c>
      <c r="R295" s="943"/>
    </row>
    <row r="296" spans="1:18" s="950" customFormat="1" ht="75">
      <c r="A296" s="949"/>
      <c r="B296" s="831" t="s">
        <v>1784</v>
      </c>
      <c r="C296" s="952"/>
      <c r="D296" s="833">
        <v>5978000</v>
      </c>
      <c r="E296" s="335" t="s">
        <v>170</v>
      </c>
      <c r="F296" s="262"/>
      <c r="G296" s="831" t="s">
        <v>1784</v>
      </c>
      <c r="H296" s="833">
        <v>5978000</v>
      </c>
      <c r="I296" s="262"/>
      <c r="J296" s="835">
        <v>42300</v>
      </c>
      <c r="K296" s="882"/>
      <c r="L296" s="267"/>
      <c r="M296" s="882"/>
      <c r="N296" s="833">
        <v>5978000</v>
      </c>
      <c r="O296" s="943"/>
      <c r="P296" s="943"/>
      <c r="Q296" s="827">
        <v>1</v>
      </c>
      <c r="R296" s="943"/>
    </row>
    <row r="297" spans="1:18" s="950" customFormat="1" ht="75">
      <c r="A297" s="949"/>
      <c r="B297" s="831" t="s">
        <v>1789</v>
      </c>
      <c r="C297" s="952"/>
      <c r="D297" s="833">
        <v>5978000</v>
      </c>
      <c r="E297" s="335" t="s">
        <v>1790</v>
      </c>
      <c r="F297" s="262"/>
      <c r="G297" s="831" t="s">
        <v>1789</v>
      </c>
      <c r="H297" s="833">
        <v>5978000</v>
      </c>
      <c r="I297" s="262"/>
      <c r="J297" s="835">
        <v>42300</v>
      </c>
      <c r="K297" s="882"/>
      <c r="L297" s="267"/>
      <c r="M297" s="882"/>
      <c r="N297" s="833">
        <v>5978000</v>
      </c>
      <c r="O297" s="943"/>
      <c r="P297" s="943"/>
      <c r="Q297" s="827">
        <v>1</v>
      </c>
      <c r="R297" s="943"/>
    </row>
    <row r="298" spans="1:18" s="950" customFormat="1" ht="75">
      <c r="A298" s="949"/>
      <c r="B298" s="831" t="s">
        <v>1791</v>
      </c>
      <c r="C298" s="952"/>
      <c r="D298" s="833">
        <v>5978000</v>
      </c>
      <c r="E298" s="335" t="s">
        <v>1792</v>
      </c>
      <c r="F298" s="262"/>
      <c r="G298" s="831" t="s">
        <v>1791</v>
      </c>
      <c r="H298" s="833">
        <v>5978000</v>
      </c>
      <c r="I298" s="262"/>
      <c r="J298" s="835">
        <v>42300</v>
      </c>
      <c r="K298" s="882"/>
      <c r="L298" s="267"/>
      <c r="M298" s="882"/>
      <c r="N298" s="833">
        <v>5978000</v>
      </c>
      <c r="O298" s="943"/>
      <c r="P298" s="943"/>
      <c r="Q298" s="827">
        <v>1</v>
      </c>
      <c r="R298" s="943"/>
    </row>
    <row r="299" spans="1:18" s="950" customFormat="1" ht="75">
      <c r="A299" s="949"/>
      <c r="B299" s="831" t="s">
        <v>1786</v>
      </c>
      <c r="C299" s="952"/>
      <c r="D299" s="833">
        <v>5978000</v>
      </c>
      <c r="E299" s="335" t="s">
        <v>170</v>
      </c>
      <c r="F299" s="262"/>
      <c r="G299" s="831" t="s">
        <v>1786</v>
      </c>
      <c r="H299" s="833">
        <v>5978000</v>
      </c>
      <c r="I299" s="262"/>
      <c r="J299" s="835">
        <v>42300</v>
      </c>
      <c r="K299" s="882"/>
      <c r="L299" s="267"/>
      <c r="M299" s="882"/>
      <c r="N299" s="833">
        <v>5978000</v>
      </c>
      <c r="O299" s="943"/>
      <c r="P299" s="943"/>
      <c r="Q299" s="827">
        <v>1</v>
      </c>
      <c r="R299" s="943"/>
    </row>
    <row r="300" spans="1:18" s="950" customFormat="1" ht="30">
      <c r="A300" s="949"/>
      <c r="B300" s="831" t="s">
        <v>1793</v>
      </c>
      <c r="C300" s="952"/>
      <c r="D300" s="833">
        <v>5978000</v>
      </c>
      <c r="E300" s="335" t="s">
        <v>1794</v>
      </c>
      <c r="F300" s="262"/>
      <c r="G300" s="831" t="s">
        <v>1793</v>
      </c>
      <c r="H300" s="833">
        <v>5978000</v>
      </c>
      <c r="I300" s="262"/>
      <c r="J300" s="835">
        <v>42304</v>
      </c>
      <c r="K300" s="882"/>
      <c r="L300" s="267"/>
      <c r="M300" s="882"/>
      <c r="N300" s="833">
        <v>5978000</v>
      </c>
      <c r="O300" s="943"/>
      <c r="P300" s="943"/>
      <c r="Q300" s="827">
        <v>1</v>
      </c>
      <c r="R300" s="943"/>
    </row>
    <row r="301" spans="1:18" s="950" customFormat="1" ht="75">
      <c r="A301" s="949"/>
      <c r="B301" s="831" t="s">
        <v>1786</v>
      </c>
      <c r="C301" s="952"/>
      <c r="D301" s="833">
        <v>5636400</v>
      </c>
      <c r="E301" s="335" t="s">
        <v>170</v>
      </c>
      <c r="F301" s="262"/>
      <c r="G301" s="831" t="s">
        <v>1786</v>
      </c>
      <c r="H301" s="833">
        <v>5636400</v>
      </c>
      <c r="I301" s="262"/>
      <c r="J301" s="835">
        <v>42303</v>
      </c>
      <c r="K301" s="882"/>
      <c r="L301" s="267"/>
      <c r="M301" s="882"/>
      <c r="N301" s="833">
        <v>5636400</v>
      </c>
      <c r="O301" s="943"/>
      <c r="P301" s="943"/>
      <c r="Q301" s="827">
        <v>1</v>
      </c>
      <c r="R301" s="943"/>
    </row>
    <row r="302" spans="1:18" s="950" customFormat="1" ht="135">
      <c r="A302" s="949"/>
      <c r="B302" s="831" t="s">
        <v>1795</v>
      </c>
      <c r="C302" s="952"/>
      <c r="D302" s="833">
        <v>62667000</v>
      </c>
      <c r="E302" s="335"/>
      <c r="F302" s="262"/>
      <c r="G302" s="831" t="s">
        <v>1795</v>
      </c>
      <c r="H302" s="833">
        <v>62667000</v>
      </c>
      <c r="I302" s="262"/>
      <c r="J302" s="835">
        <v>42306</v>
      </c>
      <c r="K302" s="882"/>
      <c r="L302" s="267"/>
      <c r="M302" s="882"/>
      <c r="N302" s="833">
        <v>62667000</v>
      </c>
      <c r="O302" s="943"/>
      <c r="P302" s="943"/>
      <c r="Q302" s="827">
        <v>1</v>
      </c>
      <c r="R302" s="943"/>
    </row>
    <row r="303" spans="1:18" s="950" customFormat="1" ht="75">
      <c r="A303" s="949"/>
      <c r="B303" s="831" t="s">
        <v>1786</v>
      </c>
      <c r="C303" s="952"/>
      <c r="D303" s="833">
        <v>5978000</v>
      </c>
      <c r="E303" s="335" t="s">
        <v>170</v>
      </c>
      <c r="F303" s="262"/>
      <c r="G303" s="831" t="s">
        <v>1786</v>
      </c>
      <c r="H303" s="833">
        <v>5978000</v>
      </c>
      <c r="I303" s="262"/>
      <c r="J303" s="835">
        <v>42311</v>
      </c>
      <c r="K303" s="882"/>
      <c r="L303" s="267"/>
      <c r="M303" s="882"/>
      <c r="N303" s="833">
        <v>5978000</v>
      </c>
      <c r="O303" s="943"/>
      <c r="P303" s="943"/>
      <c r="Q303" s="827">
        <v>1</v>
      </c>
      <c r="R303" s="943"/>
    </row>
    <row r="304" spans="1:18" s="950" customFormat="1" ht="75">
      <c r="A304" s="949"/>
      <c r="B304" s="831" t="s">
        <v>1791</v>
      </c>
      <c r="C304" s="952"/>
      <c r="D304" s="833">
        <v>4440800</v>
      </c>
      <c r="E304" s="335" t="s">
        <v>1792</v>
      </c>
      <c r="F304" s="262"/>
      <c r="G304" s="831" t="s">
        <v>1791</v>
      </c>
      <c r="H304" s="833">
        <v>4440800</v>
      </c>
      <c r="I304" s="262"/>
      <c r="J304" s="835">
        <v>42312</v>
      </c>
      <c r="K304" s="882"/>
      <c r="L304" s="267"/>
      <c r="M304" s="882"/>
      <c r="N304" s="833">
        <v>4440800</v>
      </c>
      <c r="O304" s="943"/>
      <c r="P304" s="943"/>
      <c r="Q304" s="827">
        <v>1</v>
      </c>
      <c r="R304" s="943"/>
    </row>
    <row r="305" spans="1:18" s="950" customFormat="1" ht="60">
      <c r="A305" s="949"/>
      <c r="B305" s="831" t="s">
        <v>1796</v>
      </c>
      <c r="C305" s="952"/>
      <c r="D305" s="833">
        <v>4440800</v>
      </c>
      <c r="E305" s="335" t="s">
        <v>1797</v>
      </c>
      <c r="F305" s="262"/>
      <c r="G305" s="831" t="s">
        <v>1796</v>
      </c>
      <c r="H305" s="833">
        <v>4440800</v>
      </c>
      <c r="I305" s="262"/>
      <c r="J305" s="835">
        <v>42313</v>
      </c>
      <c r="K305" s="882"/>
      <c r="L305" s="267"/>
      <c r="M305" s="882"/>
      <c r="N305" s="833">
        <v>4440800</v>
      </c>
      <c r="O305" s="943"/>
      <c r="P305" s="943"/>
      <c r="Q305" s="827">
        <v>1</v>
      </c>
      <c r="R305" s="943"/>
    </row>
    <row r="306" spans="1:18" s="950" customFormat="1" ht="75">
      <c r="A306" s="949"/>
      <c r="B306" s="831" t="s">
        <v>1798</v>
      </c>
      <c r="C306" s="952"/>
      <c r="D306" s="833">
        <v>4440800</v>
      </c>
      <c r="E306" s="335" t="s">
        <v>1530</v>
      </c>
      <c r="F306" s="262"/>
      <c r="G306" s="831" t="s">
        <v>1798</v>
      </c>
      <c r="H306" s="833">
        <v>4440800</v>
      </c>
      <c r="I306" s="262"/>
      <c r="J306" s="835">
        <v>42313</v>
      </c>
      <c r="K306" s="882"/>
      <c r="L306" s="267"/>
      <c r="M306" s="882"/>
      <c r="N306" s="833">
        <v>4440800</v>
      </c>
      <c r="O306" s="943"/>
      <c r="P306" s="943"/>
      <c r="Q306" s="827">
        <v>1</v>
      </c>
      <c r="R306" s="943"/>
    </row>
    <row r="307" spans="1:18" s="950" customFormat="1" ht="60">
      <c r="A307" s="949"/>
      <c r="B307" s="831" t="s">
        <v>1799</v>
      </c>
      <c r="C307" s="952"/>
      <c r="D307" s="833">
        <v>4440800</v>
      </c>
      <c r="E307" s="335" t="s">
        <v>577</v>
      </c>
      <c r="F307" s="262"/>
      <c r="G307" s="831" t="s">
        <v>1799</v>
      </c>
      <c r="H307" s="833">
        <v>4440800</v>
      </c>
      <c r="I307" s="262"/>
      <c r="J307" s="835">
        <v>42313</v>
      </c>
      <c r="K307" s="882"/>
      <c r="L307" s="267"/>
      <c r="M307" s="882"/>
      <c r="N307" s="833">
        <v>4440800</v>
      </c>
      <c r="O307" s="943"/>
      <c r="P307" s="943"/>
      <c r="Q307" s="827">
        <v>1</v>
      </c>
      <c r="R307" s="943"/>
    </row>
    <row r="308" spans="1:18" s="950" customFormat="1" ht="75">
      <c r="A308" s="949"/>
      <c r="B308" s="831" t="s">
        <v>1789</v>
      </c>
      <c r="C308" s="952"/>
      <c r="D308" s="833">
        <v>2562000</v>
      </c>
      <c r="E308" s="335" t="s">
        <v>1790</v>
      </c>
      <c r="F308" s="262"/>
      <c r="G308" s="831" t="s">
        <v>1789</v>
      </c>
      <c r="H308" s="833">
        <v>2562000</v>
      </c>
      <c r="I308" s="262"/>
      <c r="J308" s="835">
        <v>42328</v>
      </c>
      <c r="K308" s="882"/>
      <c r="L308" s="267"/>
      <c r="M308" s="882"/>
      <c r="N308" s="833">
        <v>2562000</v>
      </c>
      <c r="O308" s="943"/>
      <c r="P308" s="943"/>
      <c r="Q308" s="827">
        <v>1</v>
      </c>
      <c r="R308" s="943"/>
    </row>
    <row r="309" spans="1:18" ht="30">
      <c r="A309" s="241">
        <v>320</v>
      </c>
      <c r="B309" s="232" t="s">
        <v>639</v>
      </c>
      <c r="C309" s="233"/>
      <c r="D309" s="233">
        <v>452000000</v>
      </c>
      <c r="E309" s="884"/>
      <c r="F309" s="302"/>
      <c r="G309" s="303"/>
      <c r="H309" s="304"/>
      <c r="I309" s="302"/>
      <c r="J309" s="302"/>
      <c r="K309" s="305"/>
      <c r="L309" s="885"/>
      <c r="M309" s="305"/>
      <c r="N309" s="307"/>
      <c r="O309" s="323"/>
      <c r="P309" s="323"/>
      <c r="Q309" s="886"/>
      <c r="R309" s="323"/>
    </row>
    <row r="310" spans="1:18" s="836" customFormat="1" ht="45">
      <c r="A310" s="849">
        <v>320608001</v>
      </c>
      <c r="B310" s="257" t="s">
        <v>640</v>
      </c>
      <c r="C310" s="272"/>
      <c r="D310" s="272">
        <v>452000000</v>
      </c>
      <c r="E310" s="335"/>
      <c r="F310" s="263"/>
      <c r="G310" s="851"/>
      <c r="H310" s="265"/>
      <c r="I310" s="263"/>
      <c r="J310" s="263"/>
      <c r="K310" s="300"/>
      <c r="L310" s="249"/>
      <c r="M310" s="300"/>
      <c r="N310" s="268"/>
      <c r="O310" s="832"/>
      <c r="P310" s="832"/>
      <c r="Q310" s="827"/>
      <c r="R310" s="832"/>
    </row>
    <row r="311" spans="1:18" s="836" customFormat="1" ht="45">
      <c r="A311" s="849">
        <v>320608001000001</v>
      </c>
      <c r="B311" s="257" t="s">
        <v>641</v>
      </c>
      <c r="C311" s="272"/>
      <c r="D311" s="272">
        <v>118344603</v>
      </c>
      <c r="E311" s="335"/>
      <c r="F311" s="263"/>
      <c r="G311" s="851"/>
      <c r="H311" s="265"/>
      <c r="I311" s="263"/>
      <c r="J311" s="263"/>
      <c r="K311" s="300"/>
      <c r="L311" s="249"/>
      <c r="M311" s="300"/>
      <c r="N311" s="268"/>
      <c r="O311" s="832"/>
      <c r="P311" s="832"/>
      <c r="Q311" s="827"/>
      <c r="R311" s="832"/>
    </row>
    <row r="312" spans="1:18" s="836" customFormat="1" ht="45">
      <c r="A312" s="849">
        <v>3.20608001000001E+16</v>
      </c>
      <c r="B312" s="888" t="s">
        <v>642</v>
      </c>
      <c r="C312" s="887"/>
      <c r="D312" s="887">
        <v>77308043</v>
      </c>
      <c r="E312" s="335" t="s">
        <v>1800</v>
      </c>
      <c r="F312" s="263"/>
      <c r="G312" s="888" t="s">
        <v>642</v>
      </c>
      <c r="H312" s="887">
        <v>77308043</v>
      </c>
      <c r="I312" s="826"/>
      <c r="J312" s="829">
        <v>42150</v>
      </c>
      <c r="K312" s="300"/>
      <c r="L312" s="249">
        <v>0</v>
      </c>
      <c r="M312" s="300"/>
      <c r="N312" s="887">
        <v>77308043</v>
      </c>
      <c r="O312" s="832"/>
      <c r="P312" s="832"/>
      <c r="Q312" s="827">
        <v>1</v>
      </c>
      <c r="R312" s="832"/>
    </row>
    <row r="313" spans="1:18" s="836" customFormat="1" ht="60">
      <c r="A313" s="849"/>
      <c r="B313" s="257" t="s">
        <v>1801</v>
      </c>
      <c r="C313" s="272"/>
      <c r="D313" s="272">
        <v>15000000</v>
      </c>
      <c r="E313" s="335"/>
      <c r="F313" s="263"/>
      <c r="G313" s="888"/>
      <c r="H313" s="887"/>
      <c r="I313" s="826"/>
      <c r="J313" s="829"/>
      <c r="K313" s="300"/>
      <c r="L313" s="249"/>
      <c r="M313" s="300"/>
      <c r="N313" s="887"/>
      <c r="O313" s="832"/>
      <c r="P313" s="832"/>
      <c r="Q313" s="827"/>
      <c r="R313" s="832"/>
    </row>
    <row r="314" spans="1:18" s="836" customFormat="1" ht="105">
      <c r="A314" s="849">
        <v>3.20608001000001E+16</v>
      </c>
      <c r="B314" s="447" t="s">
        <v>1802</v>
      </c>
      <c r="C314" s="887"/>
      <c r="D314" s="825">
        <v>11999040</v>
      </c>
      <c r="E314" s="335" t="s">
        <v>168</v>
      </c>
      <c r="F314" s="263"/>
      <c r="G314" s="447" t="s">
        <v>1802</v>
      </c>
      <c r="H314" s="825">
        <v>11999040</v>
      </c>
      <c r="I314" s="263"/>
      <c r="J314" s="826">
        <v>42121</v>
      </c>
      <c r="K314" s="300"/>
      <c r="L314" s="249">
        <v>0</v>
      </c>
      <c r="M314" s="300"/>
      <c r="N314" s="825">
        <v>11999040</v>
      </c>
      <c r="O314" s="832"/>
      <c r="P314" s="832"/>
      <c r="Q314" s="827">
        <v>1</v>
      </c>
      <c r="R314" s="832"/>
    </row>
    <row r="315" spans="1:18" s="836" customFormat="1" ht="135">
      <c r="A315" s="849"/>
      <c r="B315" s="447" t="s">
        <v>1803</v>
      </c>
      <c r="C315" s="887"/>
      <c r="D315" s="825">
        <v>2884050</v>
      </c>
      <c r="E315" s="968">
        <v>469400</v>
      </c>
      <c r="F315" s="263"/>
      <c r="G315" s="447" t="s">
        <v>1803</v>
      </c>
      <c r="H315" s="825">
        <v>2884050</v>
      </c>
      <c r="I315" s="263"/>
      <c r="J315" s="826">
        <v>42151</v>
      </c>
      <c r="K315" s="300"/>
      <c r="L315" s="249"/>
      <c r="M315" s="300"/>
      <c r="N315" s="825">
        <v>2884050</v>
      </c>
      <c r="O315" s="832"/>
      <c r="P315" s="832"/>
      <c r="Q315" s="827">
        <v>1</v>
      </c>
      <c r="R315" s="832"/>
    </row>
    <row r="316" spans="1:18" s="836" customFormat="1" ht="45">
      <c r="A316" s="849"/>
      <c r="B316" s="969" t="s">
        <v>1804</v>
      </c>
      <c r="C316" s="272"/>
      <c r="D316" s="970">
        <v>21082033</v>
      </c>
      <c r="E316" s="335"/>
      <c r="F316" s="263"/>
      <c r="G316" s="447"/>
      <c r="H316" s="825"/>
      <c r="I316" s="263"/>
      <c r="J316" s="826"/>
      <c r="K316" s="300"/>
      <c r="L316" s="249"/>
      <c r="M316" s="300"/>
      <c r="N316" s="971"/>
      <c r="O316" s="832"/>
      <c r="P316" s="832"/>
      <c r="Q316" s="827"/>
      <c r="R316" s="832"/>
    </row>
    <row r="317" spans="1:18" s="836" customFormat="1" ht="135">
      <c r="A317" s="849">
        <v>3.20608001000001E+16</v>
      </c>
      <c r="B317" s="447" t="s">
        <v>1805</v>
      </c>
      <c r="C317" s="887"/>
      <c r="D317" s="825">
        <v>10600000</v>
      </c>
      <c r="E317" s="335" t="s">
        <v>170</v>
      </c>
      <c r="F317" s="263"/>
      <c r="G317" s="447" t="s">
        <v>1805</v>
      </c>
      <c r="H317" s="825">
        <v>10600000</v>
      </c>
      <c r="I317" s="263"/>
      <c r="J317" s="826">
        <v>42118</v>
      </c>
      <c r="K317" s="300"/>
      <c r="L317" s="249">
        <v>0</v>
      </c>
      <c r="M317" s="300"/>
      <c r="N317" s="825">
        <v>10600000</v>
      </c>
      <c r="O317" s="832"/>
      <c r="P317" s="832"/>
      <c r="Q317" s="827">
        <v>1</v>
      </c>
      <c r="R317" s="832"/>
    </row>
    <row r="318" spans="1:18" s="836" customFormat="1" ht="48.75" customHeight="1">
      <c r="A318" s="849">
        <v>3.20608001000001E+16</v>
      </c>
      <c r="B318" s="447" t="s">
        <v>1806</v>
      </c>
      <c r="C318" s="887"/>
      <c r="D318" s="825">
        <v>10398000</v>
      </c>
      <c r="E318" s="335" t="s">
        <v>170</v>
      </c>
      <c r="F318" s="263"/>
      <c r="G318" s="447" t="s">
        <v>1806</v>
      </c>
      <c r="H318" s="825">
        <v>10398000</v>
      </c>
      <c r="I318" s="263"/>
      <c r="J318" s="826">
        <v>42206</v>
      </c>
      <c r="K318" s="300"/>
      <c r="L318" s="249">
        <v>0</v>
      </c>
      <c r="M318" s="300"/>
      <c r="N318" s="825">
        <v>10398000</v>
      </c>
      <c r="O318" s="832"/>
      <c r="P318" s="832"/>
      <c r="Q318" s="827">
        <v>1</v>
      </c>
      <c r="R318" s="832"/>
    </row>
    <row r="319" spans="1:18" s="836" customFormat="1" ht="48.75" customHeight="1">
      <c r="A319" s="849"/>
      <c r="B319" s="447" t="s">
        <v>1807</v>
      </c>
      <c r="C319" s="887"/>
      <c r="D319" s="825">
        <v>83992</v>
      </c>
      <c r="E319" s="335"/>
      <c r="F319" s="263"/>
      <c r="G319" s="447"/>
      <c r="H319" s="825"/>
      <c r="I319" s="263"/>
      <c r="J319" s="826"/>
      <c r="K319" s="300"/>
      <c r="L319" s="249"/>
      <c r="M319" s="300"/>
      <c r="N319" s="971"/>
      <c r="O319" s="832"/>
      <c r="P319" s="832"/>
      <c r="Q319" s="827"/>
      <c r="R319" s="832"/>
    </row>
    <row r="320" spans="1:18" s="836" customFormat="1" ht="30">
      <c r="A320" s="849">
        <v>320608001000002</v>
      </c>
      <c r="B320" s="257" t="s">
        <v>643</v>
      </c>
      <c r="C320" s="272"/>
      <c r="D320" s="272">
        <v>4954527</v>
      </c>
      <c r="E320" s="335"/>
      <c r="F320" s="263"/>
      <c r="G320" s="851"/>
      <c r="H320" s="265"/>
      <c r="I320" s="263"/>
      <c r="J320" s="263"/>
      <c r="K320" s="300"/>
      <c r="L320" s="249"/>
      <c r="M320" s="300"/>
      <c r="N320" s="268"/>
      <c r="O320" s="832"/>
      <c r="P320" s="832"/>
      <c r="Q320" s="827"/>
      <c r="R320" s="832"/>
    </row>
    <row r="321" spans="1:18" s="836" customFormat="1" ht="75">
      <c r="A321" s="849">
        <v>3.20608001000002E+16</v>
      </c>
      <c r="B321" s="447" t="s">
        <v>1808</v>
      </c>
      <c r="C321" s="887"/>
      <c r="D321" s="825">
        <v>4934756</v>
      </c>
      <c r="E321" s="335" t="s">
        <v>1731</v>
      </c>
      <c r="F321" s="263"/>
      <c r="G321" s="447" t="s">
        <v>1808</v>
      </c>
      <c r="H321" s="825">
        <v>4934756</v>
      </c>
      <c r="I321" s="263"/>
      <c r="J321" s="826">
        <v>42138</v>
      </c>
      <c r="K321" s="300"/>
      <c r="L321" s="249">
        <v>0</v>
      </c>
      <c r="M321" s="300"/>
      <c r="N321" s="825">
        <v>4934756</v>
      </c>
      <c r="O321" s="832"/>
      <c r="P321" s="832"/>
      <c r="Q321" s="827">
        <v>1</v>
      </c>
      <c r="R321" s="832"/>
    </row>
    <row r="322" spans="1:18" s="979" customFormat="1" ht="30">
      <c r="A322" s="972"/>
      <c r="B322" s="969" t="s">
        <v>1809</v>
      </c>
      <c r="C322" s="272"/>
      <c r="D322" s="970">
        <v>14622918</v>
      </c>
      <c r="E322" s="335"/>
      <c r="F322" s="973"/>
      <c r="G322" s="969"/>
      <c r="H322" s="970"/>
      <c r="I322" s="973"/>
      <c r="J322" s="974"/>
      <c r="K322" s="975"/>
      <c r="L322" s="976"/>
      <c r="M322" s="975"/>
      <c r="N322" s="977"/>
      <c r="O322" s="978"/>
      <c r="P322" s="978"/>
      <c r="Q322" s="827"/>
      <c r="R322" s="978"/>
    </row>
    <row r="323" spans="1:18" s="836" customFormat="1" ht="75">
      <c r="A323" s="849"/>
      <c r="B323" s="447" t="s">
        <v>1810</v>
      </c>
      <c r="C323" s="887"/>
      <c r="D323" s="825">
        <v>8258620</v>
      </c>
      <c r="E323" s="335" t="s">
        <v>1811</v>
      </c>
      <c r="F323" s="263"/>
      <c r="G323" s="447" t="s">
        <v>1810</v>
      </c>
      <c r="H323" s="825">
        <v>8258620</v>
      </c>
      <c r="I323" s="263"/>
      <c r="J323" s="826"/>
      <c r="K323" s="300"/>
      <c r="L323" s="249"/>
      <c r="M323" s="300"/>
      <c r="N323" s="825">
        <v>8258620</v>
      </c>
      <c r="O323" s="832"/>
      <c r="P323" s="832"/>
      <c r="Q323" s="827">
        <v>1</v>
      </c>
      <c r="R323" s="832"/>
    </row>
    <row r="324" spans="1:18" s="836" customFormat="1" ht="75">
      <c r="A324" s="849"/>
      <c r="B324" s="447" t="s">
        <v>1810</v>
      </c>
      <c r="C324" s="887"/>
      <c r="D324" s="825">
        <v>4210800</v>
      </c>
      <c r="E324" s="335" t="s">
        <v>1811</v>
      </c>
      <c r="F324" s="263"/>
      <c r="G324" s="447" t="s">
        <v>1810</v>
      </c>
      <c r="H324" s="825">
        <v>4210800</v>
      </c>
      <c r="I324" s="263"/>
      <c r="J324" s="826"/>
      <c r="K324" s="300"/>
      <c r="L324" s="249"/>
      <c r="M324" s="300"/>
      <c r="N324" s="825">
        <v>4210800</v>
      </c>
      <c r="O324" s="832"/>
      <c r="P324" s="832"/>
      <c r="Q324" s="827">
        <v>1</v>
      </c>
      <c r="R324" s="832"/>
    </row>
    <row r="325" spans="1:18" s="836" customFormat="1" ht="45">
      <c r="A325" s="849">
        <v>320608001000003</v>
      </c>
      <c r="B325" s="257" t="s">
        <v>644</v>
      </c>
      <c r="C325" s="272"/>
      <c r="D325" s="272">
        <v>2239928</v>
      </c>
      <c r="E325" s="335"/>
      <c r="F325" s="263"/>
      <c r="G325" s="851"/>
      <c r="H325" s="265"/>
      <c r="I325" s="263"/>
      <c r="J325" s="263"/>
      <c r="K325" s="300"/>
      <c r="L325" s="249"/>
      <c r="M325" s="300"/>
      <c r="N325" s="268"/>
      <c r="O325" s="832"/>
      <c r="P325" s="832"/>
      <c r="Q325" s="827"/>
      <c r="R325" s="832"/>
    </row>
    <row r="326" spans="1:18" s="836" customFormat="1" ht="90">
      <c r="A326" s="849">
        <v>3.20608001000003E+16</v>
      </c>
      <c r="B326" s="447" t="s">
        <v>1812</v>
      </c>
      <c r="C326" s="887"/>
      <c r="D326" s="825">
        <v>2220008</v>
      </c>
      <c r="E326" s="335" t="s">
        <v>170</v>
      </c>
      <c r="F326" s="263"/>
      <c r="G326" s="447" t="s">
        <v>1812</v>
      </c>
      <c r="H326" s="825">
        <v>2220008</v>
      </c>
      <c r="I326" s="263"/>
      <c r="J326" s="826">
        <v>42206</v>
      </c>
      <c r="K326" s="300"/>
      <c r="L326" s="249">
        <v>0</v>
      </c>
      <c r="M326" s="300"/>
      <c r="N326" s="825">
        <v>2220008</v>
      </c>
      <c r="O326" s="832"/>
      <c r="P326" s="832"/>
      <c r="Q326" s="827">
        <v>1</v>
      </c>
      <c r="R326" s="832"/>
    </row>
    <row r="327" spans="1:18" s="836" customFormat="1">
      <c r="A327" s="849"/>
      <c r="B327" s="888"/>
      <c r="C327" s="887"/>
      <c r="D327" s="887">
        <f>D325-D326</f>
        <v>19920</v>
      </c>
      <c r="E327" s="263"/>
      <c r="F327" s="263"/>
      <c r="G327" s="888"/>
      <c r="H327" s="265"/>
      <c r="I327" s="263"/>
      <c r="J327" s="829"/>
      <c r="K327" s="300"/>
      <c r="L327" s="249"/>
      <c r="M327" s="300"/>
      <c r="N327" s="980"/>
      <c r="O327" s="832"/>
      <c r="P327" s="832"/>
      <c r="Q327" s="827"/>
      <c r="R327" s="832"/>
    </row>
    <row r="328" spans="1:18" s="836" customFormat="1" ht="45">
      <c r="A328" s="849">
        <v>320608001000004</v>
      </c>
      <c r="B328" s="257" t="s">
        <v>645</v>
      </c>
      <c r="C328" s="272"/>
      <c r="D328" s="272">
        <v>51026089</v>
      </c>
      <c r="E328" s="335"/>
      <c r="F328" s="263"/>
      <c r="G328" s="851"/>
      <c r="H328" s="265"/>
      <c r="I328" s="263"/>
      <c r="J328" s="263"/>
      <c r="K328" s="300"/>
      <c r="L328" s="249"/>
      <c r="M328" s="300"/>
      <c r="N328" s="268"/>
      <c r="O328" s="832"/>
      <c r="P328" s="832"/>
      <c r="Q328" s="827"/>
      <c r="R328" s="832"/>
    </row>
    <row r="329" spans="1:18" s="836" customFormat="1" ht="60">
      <c r="A329" s="849"/>
      <c r="B329" s="831" t="s">
        <v>1813</v>
      </c>
      <c r="C329" s="272"/>
      <c r="D329" s="833">
        <v>2050000</v>
      </c>
      <c r="E329" s="335" t="s">
        <v>170</v>
      </c>
      <c r="F329" s="263"/>
      <c r="G329" s="831" t="s">
        <v>1813</v>
      </c>
      <c r="H329" s="833">
        <v>2050000</v>
      </c>
      <c r="I329" s="263"/>
      <c r="J329" s="835">
        <v>42138</v>
      </c>
      <c r="K329" s="300"/>
      <c r="L329" s="267"/>
      <c r="M329" s="300"/>
      <c r="N329" s="833">
        <v>2050000</v>
      </c>
      <c r="O329" s="832"/>
      <c r="P329" s="832"/>
      <c r="Q329" s="827">
        <v>1</v>
      </c>
      <c r="R329" s="832"/>
    </row>
    <row r="330" spans="1:18" s="836" customFormat="1" ht="120">
      <c r="A330" s="849"/>
      <c r="B330" s="831" t="s">
        <v>1814</v>
      </c>
      <c r="C330" s="272"/>
      <c r="D330" s="833">
        <v>1500000</v>
      </c>
      <c r="E330" s="335" t="s">
        <v>170</v>
      </c>
      <c r="F330" s="263"/>
      <c r="G330" s="831" t="s">
        <v>1814</v>
      </c>
      <c r="H330" s="833">
        <v>1500000</v>
      </c>
      <c r="I330" s="263"/>
      <c r="J330" s="835">
        <v>42145</v>
      </c>
      <c r="K330" s="300"/>
      <c r="L330" s="267"/>
      <c r="M330" s="300"/>
      <c r="N330" s="833">
        <v>1500000</v>
      </c>
      <c r="O330" s="832"/>
      <c r="P330" s="832"/>
      <c r="Q330" s="827">
        <v>1</v>
      </c>
      <c r="R330" s="832"/>
    </row>
    <row r="331" spans="1:18" s="836" customFormat="1" ht="135">
      <c r="A331" s="849"/>
      <c r="B331" s="831" t="s">
        <v>1815</v>
      </c>
      <c r="C331" s="272"/>
      <c r="D331" s="833">
        <v>2500000</v>
      </c>
      <c r="E331" s="335" t="s">
        <v>170</v>
      </c>
      <c r="F331" s="263"/>
      <c r="G331" s="831" t="s">
        <v>1815</v>
      </c>
      <c r="H331" s="833">
        <v>2500000</v>
      </c>
      <c r="I331" s="263"/>
      <c r="J331" s="835">
        <v>42145</v>
      </c>
      <c r="K331" s="300"/>
      <c r="L331" s="267"/>
      <c r="M331" s="300"/>
      <c r="N331" s="833">
        <v>2500000</v>
      </c>
      <c r="O331" s="832"/>
      <c r="P331" s="832"/>
      <c r="Q331" s="827">
        <v>1</v>
      </c>
      <c r="R331" s="832"/>
    </row>
    <row r="332" spans="1:18" s="836" customFormat="1" ht="120">
      <c r="A332" s="849"/>
      <c r="B332" s="831" t="s">
        <v>1816</v>
      </c>
      <c r="C332" s="272"/>
      <c r="D332" s="833">
        <v>2500000</v>
      </c>
      <c r="E332" s="335" t="s">
        <v>170</v>
      </c>
      <c r="F332" s="263"/>
      <c r="G332" s="831" t="s">
        <v>1816</v>
      </c>
      <c r="H332" s="833">
        <v>2500000</v>
      </c>
      <c r="I332" s="263"/>
      <c r="J332" s="835">
        <v>42206</v>
      </c>
      <c r="K332" s="300"/>
      <c r="L332" s="267"/>
      <c r="M332" s="300"/>
      <c r="N332" s="833">
        <v>2500000</v>
      </c>
      <c r="O332" s="832"/>
      <c r="P332" s="832"/>
      <c r="Q332" s="827">
        <v>1</v>
      </c>
      <c r="R332" s="832"/>
    </row>
    <row r="333" spans="1:18" s="836" customFormat="1" ht="120">
      <c r="A333" s="849"/>
      <c r="B333" s="831" t="s">
        <v>1817</v>
      </c>
      <c r="C333" s="272"/>
      <c r="D333" s="833">
        <v>1900000</v>
      </c>
      <c r="E333" s="335" t="s">
        <v>170</v>
      </c>
      <c r="F333" s="263"/>
      <c r="G333" s="831" t="s">
        <v>1817</v>
      </c>
      <c r="H333" s="833">
        <v>1900000</v>
      </c>
      <c r="I333" s="263"/>
      <c r="J333" s="835">
        <v>42150</v>
      </c>
      <c r="K333" s="300"/>
      <c r="L333" s="267"/>
      <c r="M333" s="300"/>
      <c r="N333" s="833">
        <v>1900000</v>
      </c>
      <c r="O333" s="832"/>
      <c r="P333" s="832"/>
      <c r="Q333" s="827">
        <v>1</v>
      </c>
      <c r="R333" s="832"/>
    </row>
    <row r="334" spans="1:18" s="836" customFormat="1" ht="120">
      <c r="A334" s="849"/>
      <c r="B334" s="831" t="s">
        <v>1818</v>
      </c>
      <c r="C334" s="272"/>
      <c r="D334" s="833">
        <v>2500000</v>
      </c>
      <c r="E334" s="335" t="s">
        <v>170</v>
      </c>
      <c r="F334" s="263"/>
      <c r="G334" s="831" t="s">
        <v>1818</v>
      </c>
      <c r="H334" s="833">
        <v>2500000</v>
      </c>
      <c r="I334" s="263"/>
      <c r="J334" s="835">
        <v>42157</v>
      </c>
      <c r="K334" s="300"/>
      <c r="L334" s="267"/>
      <c r="M334" s="300"/>
      <c r="N334" s="833">
        <v>2500000</v>
      </c>
      <c r="O334" s="832"/>
      <c r="P334" s="832"/>
      <c r="Q334" s="827">
        <v>1</v>
      </c>
      <c r="R334" s="832"/>
    </row>
    <row r="335" spans="1:18" s="836" customFormat="1" ht="120">
      <c r="A335" s="849"/>
      <c r="B335" s="831" t="s">
        <v>1819</v>
      </c>
      <c r="C335" s="272"/>
      <c r="D335" s="833">
        <v>1000000</v>
      </c>
      <c r="E335" s="335" t="s">
        <v>170</v>
      </c>
      <c r="F335" s="263"/>
      <c r="G335" s="831" t="s">
        <v>1819</v>
      </c>
      <c r="H335" s="833">
        <v>1000000</v>
      </c>
      <c r="I335" s="263"/>
      <c r="J335" s="835">
        <v>42157</v>
      </c>
      <c r="K335" s="300"/>
      <c r="L335" s="267"/>
      <c r="M335" s="300"/>
      <c r="N335" s="833">
        <v>1000000</v>
      </c>
      <c r="O335" s="832"/>
      <c r="P335" s="832"/>
      <c r="Q335" s="827">
        <v>1</v>
      </c>
      <c r="R335" s="832"/>
    </row>
    <row r="336" spans="1:18" s="836" customFormat="1" ht="90">
      <c r="A336" s="849"/>
      <c r="B336" s="831" t="s">
        <v>1820</v>
      </c>
      <c r="C336" s="272"/>
      <c r="D336" s="833">
        <v>1761996</v>
      </c>
      <c r="E336" s="335" t="s">
        <v>170</v>
      </c>
      <c r="F336" s="263"/>
      <c r="G336" s="831" t="s">
        <v>1820</v>
      </c>
      <c r="H336" s="833">
        <v>1500000</v>
      </c>
      <c r="I336" s="263"/>
      <c r="J336" s="835">
        <v>42157</v>
      </c>
      <c r="K336" s="300"/>
      <c r="L336" s="267"/>
      <c r="M336" s="300"/>
      <c r="N336" s="833">
        <v>1500000</v>
      </c>
      <c r="O336" s="832"/>
      <c r="P336" s="832"/>
      <c r="Q336" s="827">
        <v>1</v>
      </c>
      <c r="R336" s="832"/>
    </row>
    <row r="337" spans="1:18" s="836" customFormat="1" ht="75">
      <c r="A337" s="849"/>
      <c r="B337" s="831" t="s">
        <v>1821</v>
      </c>
      <c r="C337" s="272"/>
      <c r="D337" s="833">
        <v>2500000</v>
      </c>
      <c r="E337" s="335" t="s">
        <v>1731</v>
      </c>
      <c r="F337" s="263"/>
      <c r="G337" s="831" t="s">
        <v>1821</v>
      </c>
      <c r="H337" s="833">
        <v>2500000</v>
      </c>
      <c r="I337" s="263"/>
      <c r="J337" s="835">
        <v>42165</v>
      </c>
      <c r="K337" s="300"/>
      <c r="L337" s="267"/>
      <c r="M337" s="300"/>
      <c r="N337" s="833">
        <v>2500000</v>
      </c>
      <c r="O337" s="832"/>
      <c r="P337" s="832"/>
      <c r="Q337" s="827">
        <v>1</v>
      </c>
      <c r="R337" s="832"/>
    </row>
    <row r="338" spans="1:18" s="836" customFormat="1" ht="90">
      <c r="A338" s="849"/>
      <c r="B338" s="831" t="s">
        <v>1822</v>
      </c>
      <c r="C338" s="272"/>
      <c r="D338" s="833">
        <v>2500000</v>
      </c>
      <c r="E338" s="335" t="s">
        <v>1731</v>
      </c>
      <c r="F338" s="263"/>
      <c r="G338" s="831" t="s">
        <v>1822</v>
      </c>
      <c r="H338" s="833">
        <v>2500000</v>
      </c>
      <c r="I338" s="263"/>
      <c r="J338" s="835">
        <v>42171</v>
      </c>
      <c r="K338" s="300"/>
      <c r="L338" s="267"/>
      <c r="M338" s="300"/>
      <c r="N338" s="833">
        <v>2500000</v>
      </c>
      <c r="O338" s="832"/>
      <c r="P338" s="832"/>
      <c r="Q338" s="827">
        <v>1</v>
      </c>
      <c r="R338" s="832"/>
    </row>
    <row r="339" spans="1:18" s="836" customFormat="1" ht="105">
      <c r="A339" s="849"/>
      <c r="B339" s="831" t="s">
        <v>1823</v>
      </c>
      <c r="C339" s="272"/>
      <c r="D339" s="833">
        <v>1039361</v>
      </c>
      <c r="E339" s="335" t="s">
        <v>170</v>
      </c>
      <c r="F339" s="263"/>
      <c r="G339" s="831" t="s">
        <v>1823</v>
      </c>
      <c r="H339" s="833">
        <v>1039361</v>
      </c>
      <c r="I339" s="263"/>
      <c r="J339" s="835">
        <v>42173</v>
      </c>
      <c r="K339" s="300"/>
      <c r="L339" s="267"/>
      <c r="M339" s="300"/>
      <c r="N339" s="833">
        <v>1039361</v>
      </c>
      <c r="O339" s="832"/>
      <c r="P339" s="832"/>
      <c r="Q339" s="827">
        <v>1</v>
      </c>
      <c r="R339" s="832"/>
    </row>
    <row r="340" spans="1:18" s="836" customFormat="1" ht="90">
      <c r="A340" s="849"/>
      <c r="B340" s="831" t="s">
        <v>1824</v>
      </c>
      <c r="C340" s="272"/>
      <c r="D340" s="833">
        <v>12196240</v>
      </c>
      <c r="E340" s="335" t="s">
        <v>170</v>
      </c>
      <c r="F340" s="263"/>
      <c r="G340" s="831" t="s">
        <v>1824</v>
      </c>
      <c r="H340" s="833">
        <v>12196240</v>
      </c>
      <c r="I340" s="263"/>
      <c r="J340" s="835">
        <v>42213</v>
      </c>
      <c r="K340" s="300"/>
      <c r="L340" s="267"/>
      <c r="M340" s="300"/>
      <c r="N340" s="833">
        <v>12196240</v>
      </c>
      <c r="O340" s="832"/>
      <c r="P340" s="832"/>
      <c r="Q340" s="827">
        <v>1</v>
      </c>
      <c r="R340" s="832"/>
    </row>
    <row r="341" spans="1:18" s="836" customFormat="1" ht="105">
      <c r="A341" s="849"/>
      <c r="B341" s="831" t="s">
        <v>1825</v>
      </c>
      <c r="C341" s="272"/>
      <c r="D341" s="833">
        <v>6876480</v>
      </c>
      <c r="E341" s="335" t="s">
        <v>170</v>
      </c>
      <c r="F341" s="263"/>
      <c r="G341" s="831" t="s">
        <v>1825</v>
      </c>
      <c r="H341" s="833">
        <v>6876480</v>
      </c>
      <c r="I341" s="263"/>
      <c r="J341" s="835">
        <v>42206</v>
      </c>
      <c r="K341" s="300"/>
      <c r="L341" s="267"/>
      <c r="M341" s="300"/>
      <c r="N341" s="833">
        <v>6876480</v>
      </c>
      <c r="O341" s="832"/>
      <c r="P341" s="832"/>
      <c r="Q341" s="827">
        <v>1</v>
      </c>
      <c r="R341" s="832"/>
    </row>
    <row r="342" spans="1:18" s="836" customFormat="1" ht="105">
      <c r="A342" s="849"/>
      <c r="B342" s="831" t="s">
        <v>1826</v>
      </c>
      <c r="C342" s="272"/>
      <c r="D342" s="833">
        <v>4245000</v>
      </c>
      <c r="E342" s="335" t="s">
        <v>1827</v>
      </c>
      <c r="F342" s="263"/>
      <c r="G342" s="831" t="s">
        <v>1826</v>
      </c>
      <c r="H342" s="833">
        <v>4245000</v>
      </c>
      <c r="I342" s="263"/>
      <c r="J342" s="835">
        <v>42206</v>
      </c>
      <c r="K342" s="300"/>
      <c r="L342" s="267"/>
      <c r="M342" s="300"/>
      <c r="N342" s="833">
        <v>4245000</v>
      </c>
      <c r="O342" s="832"/>
      <c r="P342" s="832"/>
      <c r="Q342" s="827">
        <v>1</v>
      </c>
      <c r="R342" s="832"/>
    </row>
    <row r="343" spans="1:18" s="836" customFormat="1" ht="135">
      <c r="A343" s="849"/>
      <c r="B343" s="831" t="s">
        <v>1828</v>
      </c>
      <c r="C343" s="272"/>
      <c r="D343" s="833">
        <v>2100000</v>
      </c>
      <c r="E343" s="335" t="s">
        <v>1827</v>
      </c>
      <c r="F343" s="263"/>
      <c r="G343" s="831" t="s">
        <v>1828</v>
      </c>
      <c r="H343" s="833">
        <v>2100000</v>
      </c>
      <c r="I343" s="263"/>
      <c r="J343" s="835">
        <v>42219</v>
      </c>
      <c r="K343" s="300"/>
      <c r="L343" s="267"/>
      <c r="M343" s="300"/>
      <c r="N343" s="833">
        <v>2100000</v>
      </c>
      <c r="O343" s="832"/>
      <c r="P343" s="832"/>
      <c r="Q343" s="827">
        <v>1</v>
      </c>
      <c r="R343" s="832"/>
    </row>
    <row r="344" spans="1:18" s="836" customFormat="1" ht="45">
      <c r="A344" s="849">
        <v>320608001000005</v>
      </c>
      <c r="B344" s="257" t="s">
        <v>652</v>
      </c>
      <c r="C344" s="272"/>
      <c r="D344" s="272">
        <v>42000000</v>
      </c>
      <c r="E344" s="335"/>
      <c r="F344" s="263"/>
      <c r="G344" s="851"/>
      <c r="H344" s="265"/>
      <c r="I344" s="263"/>
      <c r="J344" s="263"/>
      <c r="K344" s="300"/>
      <c r="L344" s="249"/>
      <c r="M344" s="300"/>
      <c r="N344" s="268"/>
      <c r="O344" s="832"/>
      <c r="P344" s="832"/>
      <c r="Q344" s="827"/>
      <c r="R344" s="832"/>
    </row>
    <row r="345" spans="1:18" s="883" customFormat="1" ht="120">
      <c r="A345" s="879"/>
      <c r="B345" s="447" t="s">
        <v>1814</v>
      </c>
      <c r="C345" s="981"/>
      <c r="D345" s="825">
        <v>1200000</v>
      </c>
      <c r="E345" s="982" t="s">
        <v>170</v>
      </c>
      <c r="F345" s="262"/>
      <c r="G345" s="447" t="s">
        <v>1814</v>
      </c>
      <c r="H345" s="825">
        <v>1200000</v>
      </c>
      <c r="I345" s="262"/>
      <c r="J345" s="826">
        <v>42157</v>
      </c>
      <c r="K345" s="882"/>
      <c r="L345" s="249">
        <v>0</v>
      </c>
      <c r="M345" s="882"/>
      <c r="N345" s="825">
        <v>1200000</v>
      </c>
      <c r="O345" s="300" t="s">
        <v>646</v>
      </c>
      <c r="P345" s="882"/>
      <c r="Q345" s="827">
        <v>1</v>
      </c>
      <c r="R345" s="882"/>
    </row>
    <row r="346" spans="1:18" s="883" customFormat="1" ht="135">
      <c r="A346" s="879"/>
      <c r="B346" s="447" t="s">
        <v>1815</v>
      </c>
      <c r="C346" s="981"/>
      <c r="D346" s="825">
        <v>1800000</v>
      </c>
      <c r="E346" s="982" t="s">
        <v>653</v>
      </c>
      <c r="F346" s="262"/>
      <c r="G346" s="447" t="s">
        <v>1815</v>
      </c>
      <c r="H346" s="825">
        <v>1800000</v>
      </c>
      <c r="I346" s="262"/>
      <c r="J346" s="826">
        <v>42157</v>
      </c>
      <c r="K346" s="882"/>
      <c r="L346" s="249">
        <v>0</v>
      </c>
      <c r="M346" s="882"/>
      <c r="N346" s="825">
        <v>1800000</v>
      </c>
      <c r="O346" s="300" t="s">
        <v>646</v>
      </c>
      <c r="P346" s="882"/>
      <c r="Q346" s="827">
        <v>1</v>
      </c>
      <c r="R346" s="882"/>
    </row>
    <row r="347" spans="1:18" s="883" customFormat="1" ht="120">
      <c r="A347" s="879"/>
      <c r="B347" s="447" t="s">
        <v>1816</v>
      </c>
      <c r="C347" s="981"/>
      <c r="D347" s="825">
        <v>2000000</v>
      </c>
      <c r="E347" s="982" t="s">
        <v>647</v>
      </c>
      <c r="F347" s="262"/>
      <c r="G347" s="447" t="s">
        <v>1816</v>
      </c>
      <c r="H347" s="825">
        <v>2000000</v>
      </c>
      <c r="I347" s="262"/>
      <c r="J347" s="826">
        <v>42157</v>
      </c>
      <c r="K347" s="882"/>
      <c r="L347" s="249">
        <v>0</v>
      </c>
      <c r="M347" s="882"/>
      <c r="N347" s="825">
        <v>2000000</v>
      </c>
      <c r="O347" s="300" t="s">
        <v>646</v>
      </c>
      <c r="P347" s="882"/>
      <c r="Q347" s="827">
        <v>1</v>
      </c>
      <c r="R347" s="882"/>
    </row>
    <row r="348" spans="1:18" s="883" customFormat="1" ht="120">
      <c r="A348" s="879"/>
      <c r="B348" s="447" t="s">
        <v>1817</v>
      </c>
      <c r="C348" s="981"/>
      <c r="D348" s="825">
        <v>1800000</v>
      </c>
      <c r="E348" s="982" t="s">
        <v>648</v>
      </c>
      <c r="F348" s="262"/>
      <c r="G348" s="447" t="s">
        <v>1817</v>
      </c>
      <c r="H348" s="825">
        <v>1800000</v>
      </c>
      <c r="I348" s="262"/>
      <c r="J348" s="826">
        <v>42158</v>
      </c>
      <c r="K348" s="882"/>
      <c r="L348" s="249">
        <v>0</v>
      </c>
      <c r="M348" s="882"/>
      <c r="N348" s="825">
        <v>1800000</v>
      </c>
      <c r="O348" s="300" t="s">
        <v>646</v>
      </c>
      <c r="P348" s="882"/>
      <c r="Q348" s="827">
        <v>1</v>
      </c>
      <c r="R348" s="882"/>
    </row>
    <row r="349" spans="1:18" s="883" customFormat="1" ht="120">
      <c r="A349" s="879"/>
      <c r="B349" s="447" t="s">
        <v>1818</v>
      </c>
      <c r="C349" s="981"/>
      <c r="D349" s="825">
        <v>2000000</v>
      </c>
      <c r="E349" s="982" t="s">
        <v>649</v>
      </c>
      <c r="F349" s="262"/>
      <c r="G349" s="447" t="s">
        <v>1818</v>
      </c>
      <c r="H349" s="825">
        <v>2000000</v>
      </c>
      <c r="I349" s="262"/>
      <c r="J349" s="826">
        <v>42165</v>
      </c>
      <c r="K349" s="882"/>
      <c r="L349" s="249">
        <v>0</v>
      </c>
      <c r="M349" s="882"/>
      <c r="N349" s="825">
        <v>2000000</v>
      </c>
      <c r="O349" s="300" t="s">
        <v>646</v>
      </c>
      <c r="P349" s="882"/>
      <c r="Q349" s="827">
        <v>1</v>
      </c>
      <c r="R349" s="882"/>
    </row>
    <row r="350" spans="1:18" s="883" customFormat="1" ht="120">
      <c r="A350" s="879"/>
      <c r="B350" s="447" t="s">
        <v>1819</v>
      </c>
      <c r="C350" s="981"/>
      <c r="D350" s="825">
        <v>1000000</v>
      </c>
      <c r="E350" s="982" t="s">
        <v>650</v>
      </c>
      <c r="F350" s="262"/>
      <c r="G350" s="447" t="s">
        <v>1819</v>
      </c>
      <c r="H350" s="825">
        <v>1000000</v>
      </c>
      <c r="I350" s="262"/>
      <c r="J350" s="826">
        <v>42171</v>
      </c>
      <c r="K350" s="882"/>
      <c r="L350" s="249">
        <v>0</v>
      </c>
      <c r="M350" s="882"/>
      <c r="N350" s="825">
        <v>1000000</v>
      </c>
      <c r="O350" s="300" t="s">
        <v>646</v>
      </c>
      <c r="P350" s="882"/>
      <c r="Q350" s="827">
        <v>1</v>
      </c>
      <c r="R350" s="882"/>
    </row>
    <row r="351" spans="1:18" s="883" customFormat="1" ht="75">
      <c r="A351" s="879"/>
      <c r="B351" s="447" t="s">
        <v>1829</v>
      </c>
      <c r="C351" s="981"/>
      <c r="D351" s="825">
        <v>7900000</v>
      </c>
      <c r="E351" s="982" t="s">
        <v>651</v>
      </c>
      <c r="F351" s="262"/>
      <c r="G351" s="447" t="s">
        <v>1829</v>
      </c>
      <c r="H351" s="825">
        <v>7900000</v>
      </c>
      <c r="I351" s="262"/>
      <c r="J351" s="826">
        <v>42193</v>
      </c>
      <c r="K351" s="882"/>
      <c r="L351" s="249">
        <v>0</v>
      </c>
      <c r="M351" s="882"/>
      <c r="N351" s="825">
        <v>7900000</v>
      </c>
      <c r="O351" s="300" t="s">
        <v>646</v>
      </c>
      <c r="P351" s="882"/>
      <c r="Q351" s="827">
        <v>1</v>
      </c>
      <c r="R351" s="882"/>
    </row>
    <row r="352" spans="1:18" s="883" customFormat="1" ht="75">
      <c r="A352" s="879"/>
      <c r="B352" s="447" t="s">
        <v>1830</v>
      </c>
      <c r="C352" s="983"/>
      <c r="D352" s="825">
        <v>24270000</v>
      </c>
      <c r="E352" s="335" t="s">
        <v>170</v>
      </c>
      <c r="F352" s="984"/>
      <c r="G352" s="447" t="s">
        <v>1830</v>
      </c>
      <c r="H352" s="825">
        <v>24270000</v>
      </c>
      <c r="I352" s="262"/>
      <c r="J352" s="826">
        <v>42194</v>
      </c>
      <c r="K352" s="882"/>
      <c r="L352" s="249">
        <v>0</v>
      </c>
      <c r="M352" s="882"/>
      <c r="N352" s="825">
        <v>24270000</v>
      </c>
      <c r="O352" s="882"/>
      <c r="P352" s="882"/>
      <c r="Q352" s="827">
        <v>1</v>
      </c>
      <c r="R352" s="882"/>
    </row>
    <row r="353" spans="1:18" s="883" customFormat="1" ht="105">
      <c r="A353" s="879"/>
      <c r="B353" s="447" t="s">
        <v>1823</v>
      </c>
      <c r="C353" s="983"/>
      <c r="D353" s="825">
        <v>2838639</v>
      </c>
      <c r="E353" s="335" t="s">
        <v>170</v>
      </c>
      <c r="F353" s="984"/>
      <c r="G353" s="447" t="s">
        <v>1823</v>
      </c>
      <c r="H353" s="825">
        <v>2838639</v>
      </c>
      <c r="I353" s="940">
        <v>42186</v>
      </c>
      <c r="J353" s="826">
        <v>42219</v>
      </c>
      <c r="K353" s="882"/>
      <c r="L353" s="249">
        <v>0</v>
      </c>
      <c r="M353" s="882"/>
      <c r="N353" s="825">
        <v>2838639</v>
      </c>
      <c r="O353" s="882"/>
      <c r="P353" s="882"/>
      <c r="Q353" s="827">
        <v>1</v>
      </c>
      <c r="R353" s="882"/>
    </row>
    <row r="354" spans="1:18" s="836" customFormat="1" ht="30">
      <c r="A354" s="849">
        <v>320608001000006</v>
      </c>
      <c r="B354" s="257" t="s">
        <v>654</v>
      </c>
      <c r="C354" s="272"/>
      <c r="D354" s="272">
        <v>42000000</v>
      </c>
      <c r="E354" s="335"/>
      <c r="F354" s="263"/>
      <c r="G354" s="851"/>
      <c r="H354" s="265"/>
      <c r="I354" s="263"/>
      <c r="J354" s="263"/>
      <c r="K354" s="300"/>
      <c r="L354" s="249"/>
      <c r="M354" s="300"/>
      <c r="N354" s="268"/>
      <c r="O354" s="832"/>
      <c r="P354" s="832"/>
      <c r="Q354" s="827"/>
      <c r="R354" s="832"/>
    </row>
    <row r="355" spans="1:18" s="301" customFormat="1" ht="63.75">
      <c r="A355" s="985"/>
      <c r="B355" s="951" t="s">
        <v>655</v>
      </c>
      <c r="C355" s="261"/>
      <c r="D355" s="986">
        <v>41596092</v>
      </c>
      <c r="E355" s="987" t="s">
        <v>167</v>
      </c>
      <c r="F355" s="988"/>
      <c r="G355" s="951" t="s">
        <v>655</v>
      </c>
      <c r="H355" s="325"/>
      <c r="I355" s="326"/>
      <c r="J355" s="327">
        <v>42177</v>
      </c>
      <c r="K355" s="327"/>
      <c r="L355" s="249">
        <v>0</v>
      </c>
      <c r="N355" s="324">
        <v>41762476</v>
      </c>
      <c r="O355" s="300"/>
      <c r="P355" s="300"/>
      <c r="Q355" s="827">
        <v>1</v>
      </c>
      <c r="R355" s="300"/>
    </row>
    <row r="356" spans="1:18" s="301" customFormat="1">
      <c r="A356" s="985"/>
      <c r="B356" s="951" t="s">
        <v>1703</v>
      </c>
      <c r="C356" s="261"/>
      <c r="D356" s="986">
        <f>D354-D355</f>
        <v>403908</v>
      </c>
      <c r="E356" s="335"/>
      <c r="F356" s="988"/>
      <c r="G356" s="951"/>
      <c r="H356" s="325"/>
      <c r="I356" s="326"/>
      <c r="J356" s="327"/>
      <c r="K356" s="327"/>
      <c r="L356" s="249"/>
      <c r="N356" s="989"/>
      <c r="O356" s="300"/>
      <c r="P356" s="300"/>
      <c r="Q356" s="827"/>
      <c r="R356" s="300"/>
    </row>
    <row r="357" spans="1:18" s="836" customFormat="1" ht="60">
      <c r="A357" s="849">
        <v>320608001000007</v>
      </c>
      <c r="B357" s="257" t="s">
        <v>656</v>
      </c>
      <c r="C357" s="272" t="s">
        <v>1831</v>
      </c>
      <c r="D357" s="272">
        <v>14733983</v>
      </c>
      <c r="E357" s="335" t="s">
        <v>170</v>
      </c>
      <c r="F357" s="263"/>
      <c r="G357" s="851"/>
      <c r="H357" s="265"/>
      <c r="I357" s="263"/>
      <c r="J357" s="263"/>
      <c r="K357" s="300"/>
      <c r="L357" s="249">
        <v>0</v>
      </c>
      <c r="M357" s="300"/>
      <c r="N357" s="268"/>
      <c r="O357" s="832"/>
      <c r="P357" s="832"/>
      <c r="Q357" s="827">
        <v>1</v>
      </c>
      <c r="R357" s="832"/>
    </row>
    <row r="358" spans="1:18" s="301" customFormat="1" ht="120">
      <c r="A358" s="985"/>
      <c r="B358" s="447" t="s">
        <v>1814</v>
      </c>
      <c r="C358" s="261"/>
      <c r="D358" s="825">
        <v>384000</v>
      </c>
      <c r="E358" s="987" t="s">
        <v>170</v>
      </c>
      <c r="F358" s="263"/>
      <c r="G358" s="447" t="s">
        <v>1814</v>
      </c>
      <c r="H358" s="825">
        <v>384000</v>
      </c>
      <c r="I358" s="326"/>
      <c r="J358" s="826">
        <v>42157</v>
      </c>
      <c r="K358" s="327"/>
      <c r="L358" s="249">
        <v>0</v>
      </c>
      <c r="M358" s="990"/>
      <c r="N358" s="825">
        <v>384000</v>
      </c>
      <c r="O358" s="300" t="s">
        <v>646</v>
      </c>
      <c r="P358" s="300"/>
      <c r="Q358" s="827">
        <v>1</v>
      </c>
      <c r="R358" s="300"/>
    </row>
    <row r="359" spans="1:18" s="301" customFormat="1" ht="135">
      <c r="A359" s="985"/>
      <c r="B359" s="447" t="s">
        <v>1815</v>
      </c>
      <c r="C359" s="261"/>
      <c r="D359" s="825">
        <v>980000</v>
      </c>
      <c r="E359" s="987" t="s">
        <v>653</v>
      </c>
      <c r="F359" s="263"/>
      <c r="G359" s="447" t="s">
        <v>1815</v>
      </c>
      <c r="H359" s="825">
        <v>980000</v>
      </c>
      <c r="I359" s="326"/>
      <c r="J359" s="826">
        <v>42157</v>
      </c>
      <c r="K359" s="327"/>
      <c r="L359" s="249">
        <v>0</v>
      </c>
      <c r="M359" s="990"/>
      <c r="N359" s="825">
        <v>980000</v>
      </c>
      <c r="O359" s="300" t="s">
        <v>646</v>
      </c>
      <c r="P359" s="300"/>
      <c r="Q359" s="827">
        <v>1</v>
      </c>
      <c r="R359" s="300"/>
    </row>
    <row r="360" spans="1:18" s="301" customFormat="1" ht="120">
      <c r="A360" s="985"/>
      <c r="B360" s="447" t="s">
        <v>1816</v>
      </c>
      <c r="C360" s="261"/>
      <c r="D360" s="825">
        <v>1390000</v>
      </c>
      <c r="E360" s="987" t="s">
        <v>647</v>
      </c>
      <c r="F360" s="263"/>
      <c r="G360" s="447" t="s">
        <v>1816</v>
      </c>
      <c r="H360" s="825">
        <v>1390000</v>
      </c>
      <c r="I360" s="326"/>
      <c r="J360" s="826">
        <v>42157</v>
      </c>
      <c r="K360" s="327"/>
      <c r="L360" s="249">
        <v>0</v>
      </c>
      <c r="M360" s="990"/>
      <c r="N360" s="825">
        <v>1390000</v>
      </c>
      <c r="O360" s="300" t="s">
        <v>646</v>
      </c>
      <c r="P360" s="300"/>
      <c r="Q360" s="827">
        <v>1</v>
      </c>
      <c r="R360" s="300"/>
    </row>
    <row r="361" spans="1:18" s="301" customFormat="1" ht="120">
      <c r="A361" s="985"/>
      <c r="B361" s="447" t="s">
        <v>1817</v>
      </c>
      <c r="C361" s="261"/>
      <c r="D361" s="825">
        <v>1300000</v>
      </c>
      <c r="E361" s="987" t="s">
        <v>648</v>
      </c>
      <c r="F361" s="263"/>
      <c r="G361" s="447" t="s">
        <v>1817</v>
      </c>
      <c r="H361" s="825">
        <v>1300000</v>
      </c>
      <c r="I361" s="326"/>
      <c r="J361" s="826">
        <v>42158</v>
      </c>
      <c r="K361" s="327"/>
      <c r="L361" s="249">
        <v>0</v>
      </c>
      <c r="M361" s="990"/>
      <c r="N361" s="825">
        <v>1300000</v>
      </c>
      <c r="O361" s="300" t="s">
        <v>646</v>
      </c>
      <c r="P361" s="300"/>
      <c r="Q361" s="827">
        <v>1</v>
      </c>
      <c r="R361" s="300"/>
    </row>
    <row r="362" spans="1:18" s="301" customFormat="1" ht="120">
      <c r="A362" s="985"/>
      <c r="B362" s="447" t="s">
        <v>1818</v>
      </c>
      <c r="C362" s="261"/>
      <c r="D362" s="825">
        <v>1545000</v>
      </c>
      <c r="E362" s="987" t="s">
        <v>649</v>
      </c>
      <c r="F362" s="263"/>
      <c r="G362" s="447" t="s">
        <v>1818</v>
      </c>
      <c r="H362" s="825">
        <v>1545000</v>
      </c>
      <c r="I362" s="326"/>
      <c r="J362" s="826">
        <v>42165</v>
      </c>
      <c r="K362" s="327"/>
      <c r="L362" s="249">
        <v>0</v>
      </c>
      <c r="M362" s="990"/>
      <c r="N362" s="825">
        <v>1545000</v>
      </c>
      <c r="O362" s="300" t="s">
        <v>646</v>
      </c>
      <c r="P362" s="300"/>
      <c r="Q362" s="827">
        <v>1</v>
      </c>
      <c r="R362" s="300"/>
    </row>
    <row r="363" spans="1:18" s="301" customFormat="1" ht="120">
      <c r="A363" s="985"/>
      <c r="B363" s="447" t="s">
        <v>1819</v>
      </c>
      <c r="C363" s="261"/>
      <c r="D363" s="825">
        <v>250000</v>
      </c>
      <c r="E363" s="987" t="s">
        <v>650</v>
      </c>
      <c r="F363" s="263"/>
      <c r="G363" s="447" t="s">
        <v>1819</v>
      </c>
      <c r="H363" s="825">
        <v>250000</v>
      </c>
      <c r="I363" s="326"/>
      <c r="J363" s="826">
        <v>42171</v>
      </c>
      <c r="K363" s="327"/>
      <c r="L363" s="249">
        <v>0</v>
      </c>
      <c r="M363" s="990"/>
      <c r="N363" s="825">
        <v>250000</v>
      </c>
      <c r="O363" s="300" t="s">
        <v>646</v>
      </c>
      <c r="P363" s="300"/>
      <c r="Q363" s="827">
        <v>1</v>
      </c>
      <c r="R363" s="300"/>
    </row>
    <row r="364" spans="1:18" s="301" customFormat="1" ht="90">
      <c r="A364" s="985"/>
      <c r="B364" s="447" t="s">
        <v>1832</v>
      </c>
      <c r="C364" s="261"/>
      <c r="D364" s="825">
        <v>5991000</v>
      </c>
      <c r="E364" s="987" t="s">
        <v>651</v>
      </c>
      <c r="F364" s="263"/>
      <c r="G364" s="447" t="s">
        <v>1832</v>
      </c>
      <c r="H364" s="825">
        <v>5991000</v>
      </c>
      <c r="I364" s="326"/>
      <c r="J364" s="826">
        <v>42173</v>
      </c>
      <c r="K364" s="327"/>
      <c r="L364" s="249">
        <v>0</v>
      </c>
      <c r="M364" s="990"/>
      <c r="N364" s="825">
        <v>5991000</v>
      </c>
      <c r="O364" s="300" t="s">
        <v>646</v>
      </c>
      <c r="P364" s="300"/>
      <c r="Q364" s="827">
        <v>1</v>
      </c>
      <c r="R364" s="300"/>
    </row>
    <row r="365" spans="1:18" s="301" customFormat="1" ht="105">
      <c r="A365" s="985"/>
      <c r="B365" s="447" t="s">
        <v>1823</v>
      </c>
      <c r="C365" s="261"/>
      <c r="D365" s="825">
        <v>2812000</v>
      </c>
      <c r="E365" s="335" t="s">
        <v>170</v>
      </c>
      <c r="F365" s="263"/>
      <c r="G365" s="447" t="s">
        <v>1823</v>
      </c>
      <c r="H365" s="825">
        <v>2812000</v>
      </c>
      <c r="I365" s="326"/>
      <c r="J365" s="826">
        <v>42219</v>
      </c>
      <c r="K365" s="327"/>
      <c r="L365" s="249">
        <v>0</v>
      </c>
      <c r="M365" s="990"/>
      <c r="N365" s="825">
        <v>2812000</v>
      </c>
      <c r="O365" s="300"/>
      <c r="P365" s="300"/>
      <c r="Q365" s="827">
        <v>1</v>
      </c>
      <c r="R365" s="300"/>
    </row>
    <row r="366" spans="1:18" s="301" customFormat="1">
      <c r="A366" s="985"/>
      <c r="B366" s="951" t="s">
        <v>1703</v>
      </c>
      <c r="C366" s="261"/>
      <c r="D366" s="991">
        <f>D357-D358-D359-D360-D361-D362-D363-D364-D365</f>
        <v>81983</v>
      </c>
      <c r="E366" s="335"/>
      <c r="F366" s="263"/>
      <c r="G366" s="951"/>
      <c r="H366" s="325"/>
      <c r="I366" s="326"/>
      <c r="J366" s="327"/>
      <c r="K366" s="327"/>
      <c r="L366" s="249"/>
      <c r="M366" s="990"/>
      <c r="N366" s="329"/>
      <c r="O366" s="300"/>
      <c r="P366" s="300"/>
      <c r="Q366" s="827"/>
      <c r="R366" s="300"/>
    </row>
    <row r="367" spans="1:18" s="836" customFormat="1" ht="45">
      <c r="A367" s="849">
        <v>320608001000008</v>
      </c>
      <c r="B367" s="257" t="s">
        <v>657</v>
      </c>
      <c r="C367" s="272"/>
      <c r="D367" s="272">
        <v>88058073</v>
      </c>
      <c r="E367" s="335"/>
      <c r="F367" s="263"/>
      <c r="G367" s="851"/>
      <c r="H367" s="265"/>
      <c r="I367" s="263"/>
      <c r="J367" s="829"/>
      <c r="K367" s="300"/>
      <c r="L367" s="249"/>
      <c r="M367" s="300"/>
      <c r="N367" s="272"/>
      <c r="O367" s="832"/>
      <c r="P367" s="832"/>
      <c r="Q367" s="827"/>
      <c r="R367" s="300"/>
    </row>
    <row r="368" spans="1:18" s="836" customFormat="1" ht="90">
      <c r="A368" s="849">
        <v>320608001000009</v>
      </c>
      <c r="B368" s="447" t="s">
        <v>1833</v>
      </c>
      <c r="C368" s="272"/>
      <c r="D368" s="825">
        <v>65244483</v>
      </c>
      <c r="E368" s="335" t="s">
        <v>1731</v>
      </c>
      <c r="F368" s="263"/>
      <c r="G368" s="447" t="s">
        <v>1833</v>
      </c>
      <c r="H368" s="825">
        <v>65244483</v>
      </c>
      <c r="I368" s="263"/>
      <c r="J368" s="826">
        <v>42117</v>
      </c>
      <c r="K368" s="300"/>
      <c r="L368" s="249">
        <v>0</v>
      </c>
      <c r="M368" s="300"/>
      <c r="N368" s="825">
        <v>65244483</v>
      </c>
      <c r="O368" s="832"/>
      <c r="P368" s="832"/>
      <c r="Q368" s="827">
        <v>1</v>
      </c>
      <c r="R368" s="832"/>
    </row>
    <row r="369" spans="1:18" s="836" customFormat="1" ht="150">
      <c r="A369" s="849"/>
      <c r="B369" s="447" t="s">
        <v>1834</v>
      </c>
      <c r="C369" s="272"/>
      <c r="D369" s="825">
        <v>10000000</v>
      </c>
      <c r="E369" s="335" t="s">
        <v>1731</v>
      </c>
      <c r="F369" s="263"/>
      <c r="G369" s="447" t="s">
        <v>1834</v>
      </c>
      <c r="H369" s="825">
        <v>10000000</v>
      </c>
      <c r="I369" s="263"/>
      <c r="J369" s="826">
        <v>42152</v>
      </c>
      <c r="K369" s="300"/>
      <c r="L369" s="249"/>
      <c r="M369" s="300"/>
      <c r="N369" s="825">
        <v>10000000</v>
      </c>
      <c r="O369" s="832"/>
      <c r="P369" s="832"/>
      <c r="Q369" s="827">
        <v>1</v>
      </c>
      <c r="R369" s="832"/>
    </row>
    <row r="370" spans="1:18" s="836" customFormat="1" ht="135">
      <c r="A370" s="849"/>
      <c r="B370" s="447" t="s">
        <v>1835</v>
      </c>
      <c r="C370" s="272"/>
      <c r="D370" s="825">
        <v>12462562</v>
      </c>
      <c r="E370" s="335" t="s">
        <v>1731</v>
      </c>
      <c r="F370" s="263"/>
      <c r="G370" s="447" t="s">
        <v>1835</v>
      </c>
      <c r="H370" s="825">
        <v>12462562</v>
      </c>
      <c r="I370" s="263"/>
      <c r="J370" s="826">
        <v>42277</v>
      </c>
      <c r="K370" s="300"/>
      <c r="L370" s="249"/>
      <c r="M370" s="300"/>
      <c r="N370" s="825">
        <v>12462562</v>
      </c>
      <c r="O370" s="832"/>
      <c r="P370" s="832"/>
      <c r="Q370" s="827">
        <v>1</v>
      </c>
      <c r="R370" s="832"/>
    </row>
    <row r="371" spans="1:18" s="979" customFormat="1" ht="45">
      <c r="A371" s="972"/>
      <c r="B371" s="969" t="s">
        <v>1836</v>
      </c>
      <c r="C371" s="272"/>
      <c r="D371" s="970" t="s">
        <v>1837</v>
      </c>
      <c r="E371" s="335"/>
      <c r="F371" s="973"/>
      <c r="G371" s="969"/>
      <c r="H371" s="970"/>
      <c r="I371" s="973"/>
      <c r="J371" s="974"/>
      <c r="K371" s="975"/>
      <c r="L371" s="976"/>
      <c r="M371" s="975"/>
      <c r="N371" s="970"/>
      <c r="O371" s="978"/>
      <c r="P371" s="978"/>
      <c r="Q371" s="827"/>
      <c r="R371" s="978"/>
    </row>
    <row r="372" spans="1:18" s="836" customFormat="1" ht="90">
      <c r="A372" s="849"/>
      <c r="B372" s="831" t="s">
        <v>1838</v>
      </c>
      <c r="C372" s="272"/>
      <c r="D372" s="833">
        <v>18600000</v>
      </c>
      <c r="E372" s="335" t="s">
        <v>170</v>
      </c>
      <c r="F372" s="263"/>
      <c r="G372" s="831" t="s">
        <v>1838</v>
      </c>
      <c r="H372" s="833">
        <v>18600000</v>
      </c>
      <c r="I372" s="263"/>
      <c r="J372" s="835">
        <v>42185</v>
      </c>
      <c r="K372" s="300"/>
      <c r="L372" s="267"/>
      <c r="M372" s="300"/>
      <c r="N372" s="833">
        <v>18600000</v>
      </c>
      <c r="O372" s="832"/>
      <c r="P372" s="832"/>
      <c r="Q372" s="827">
        <v>1</v>
      </c>
      <c r="R372" s="832"/>
    </row>
    <row r="373" spans="1:18" s="836" customFormat="1" ht="195">
      <c r="A373" s="849"/>
      <c r="B373" s="831" t="s">
        <v>1839</v>
      </c>
      <c r="C373" s="272"/>
      <c r="D373" s="833">
        <v>19320000</v>
      </c>
      <c r="E373" s="836" t="s">
        <v>170</v>
      </c>
      <c r="F373" s="263"/>
      <c r="G373" s="831" t="s">
        <v>1839</v>
      </c>
      <c r="H373" s="833">
        <v>19320000</v>
      </c>
      <c r="I373" s="263"/>
      <c r="J373" s="835">
        <v>42185</v>
      </c>
      <c r="K373" s="300"/>
      <c r="L373" s="267"/>
      <c r="M373" s="300"/>
      <c r="N373" s="833">
        <v>19320000</v>
      </c>
      <c r="O373" s="832"/>
      <c r="P373" s="832"/>
      <c r="Q373" s="827">
        <v>1</v>
      </c>
      <c r="R373" s="832"/>
    </row>
    <row r="374" spans="1:18" s="836" customFormat="1" ht="90">
      <c r="A374" s="849"/>
      <c r="B374" s="831" t="s">
        <v>1840</v>
      </c>
      <c r="C374" s="272"/>
      <c r="D374" s="836">
        <v>25751292</v>
      </c>
      <c r="E374" s="335" t="s">
        <v>1731</v>
      </c>
      <c r="F374" s="263"/>
      <c r="G374" s="831" t="s">
        <v>1840</v>
      </c>
      <c r="H374" s="836">
        <v>25751292</v>
      </c>
      <c r="I374" s="263"/>
      <c r="J374" s="835">
        <v>42208</v>
      </c>
      <c r="K374" s="300"/>
      <c r="L374" s="267"/>
      <c r="M374" s="300"/>
      <c r="N374" s="836">
        <v>25751292</v>
      </c>
      <c r="O374" s="832"/>
      <c r="P374" s="832"/>
      <c r="Q374" s="827">
        <v>1</v>
      </c>
      <c r="R374" s="832"/>
    </row>
    <row r="375" spans="1:18" s="1001" customFormat="1" ht="90">
      <c r="A375" s="992">
        <v>320608001000010</v>
      </c>
      <c r="B375" s="993" t="s">
        <v>658</v>
      </c>
      <c r="C375" s="994"/>
      <c r="D375" s="994">
        <v>12048016</v>
      </c>
      <c r="E375" s="884"/>
      <c r="F375" s="995"/>
      <c r="G375" s="996"/>
      <c r="H375" s="997"/>
      <c r="I375" s="995"/>
      <c r="J375" s="998"/>
      <c r="K375" s="999"/>
      <c r="L375" s="885"/>
      <c r="M375" s="999"/>
      <c r="N375" s="1000"/>
      <c r="O375" s="323"/>
      <c r="P375" s="323"/>
      <c r="Q375" s="886"/>
      <c r="R375" s="323"/>
    </row>
    <row r="376" spans="1:18" s="836" customFormat="1" ht="135">
      <c r="A376" s="849"/>
      <c r="B376" s="447" t="s">
        <v>1841</v>
      </c>
      <c r="C376" s="272"/>
      <c r="D376" s="825">
        <v>11948000</v>
      </c>
      <c r="E376" s="335" t="s">
        <v>168</v>
      </c>
      <c r="F376" s="263"/>
      <c r="G376" s="447" t="s">
        <v>1841</v>
      </c>
      <c r="H376" s="825">
        <v>11948000</v>
      </c>
      <c r="I376" s="263"/>
      <c r="J376" s="826">
        <v>42153</v>
      </c>
      <c r="K376" s="300"/>
      <c r="L376" s="267"/>
      <c r="M376" s="300"/>
      <c r="N376" s="825">
        <v>11948000</v>
      </c>
      <c r="O376" s="832"/>
      <c r="P376" s="832"/>
      <c r="Q376" s="827">
        <v>1</v>
      </c>
      <c r="R376" s="832"/>
    </row>
    <row r="377" spans="1:18" s="836" customFormat="1">
      <c r="A377" s="849"/>
      <c r="B377" s="447" t="s">
        <v>1779</v>
      </c>
      <c r="C377" s="272"/>
      <c r="D377" s="825">
        <v>99809</v>
      </c>
      <c r="E377" s="335"/>
      <c r="F377" s="263"/>
      <c r="G377" s="447"/>
      <c r="H377" s="825"/>
      <c r="I377" s="263"/>
      <c r="J377" s="826"/>
      <c r="K377" s="300"/>
      <c r="L377" s="267"/>
      <c r="M377" s="300"/>
      <c r="N377" s="971"/>
      <c r="O377" s="832"/>
      <c r="P377" s="832"/>
      <c r="Q377" s="827"/>
      <c r="R377" s="832"/>
    </row>
    <row r="378" spans="1:18" ht="60">
      <c r="A378" s="241">
        <v>450</v>
      </c>
      <c r="B378" s="232" t="s">
        <v>659</v>
      </c>
      <c r="C378" s="233"/>
      <c r="D378" s="233">
        <v>6940031</v>
      </c>
      <c r="E378" s="884"/>
      <c r="F378" s="302"/>
      <c r="G378" s="303"/>
      <c r="H378" s="304"/>
      <c r="I378" s="302"/>
      <c r="J378" s="302"/>
      <c r="K378" s="305"/>
      <c r="L378" s="885"/>
      <c r="M378" s="305"/>
      <c r="N378" s="307"/>
      <c r="O378" s="323"/>
      <c r="P378" s="323"/>
      <c r="Q378" s="886"/>
      <c r="R378" s="323"/>
    </row>
    <row r="379" spans="1:18" s="301" customFormat="1" ht="75">
      <c r="A379" s="985"/>
      <c r="B379" s="447" t="s">
        <v>1842</v>
      </c>
      <c r="C379" s="947"/>
      <c r="D379" s="825">
        <v>6463056</v>
      </c>
      <c r="E379" s="1002" t="s">
        <v>582</v>
      </c>
      <c r="F379" s="263"/>
      <c r="G379" s="447" t="s">
        <v>1842</v>
      </c>
      <c r="H379" s="265"/>
      <c r="I379" s="271"/>
      <c r="J379" s="826">
        <v>42296</v>
      </c>
      <c r="K379" s="300"/>
      <c r="L379" s="249">
        <v>0</v>
      </c>
      <c r="M379" s="300"/>
      <c r="N379" s="268"/>
      <c r="O379" s="300"/>
      <c r="P379" s="300"/>
      <c r="Q379" s="827">
        <v>1</v>
      </c>
      <c r="R379" s="300"/>
    </row>
    <row r="380" spans="1:18" ht="45">
      <c r="A380" s="241">
        <v>450608001000003</v>
      </c>
      <c r="B380" s="242" t="s">
        <v>1843</v>
      </c>
      <c r="C380" s="243"/>
      <c r="D380" s="243">
        <v>438696</v>
      </c>
      <c r="E380" s="335"/>
      <c r="F380" s="247"/>
      <c r="G380" s="245"/>
      <c r="H380" s="246"/>
      <c r="I380" s="247"/>
      <c r="J380" s="247"/>
      <c r="K380" s="248"/>
      <c r="L380" s="249"/>
      <c r="M380" s="248"/>
      <c r="N380" s="250"/>
      <c r="O380" s="72"/>
      <c r="P380" s="72"/>
      <c r="Q380" s="827"/>
      <c r="R380" s="72"/>
    </row>
    <row r="381" spans="1:18" ht="45">
      <c r="A381" s="241"/>
      <c r="B381" s="447" t="s">
        <v>1844</v>
      </c>
      <c r="C381" s="838"/>
      <c r="D381" s="243">
        <v>438696</v>
      </c>
      <c r="E381" s="335" t="s">
        <v>1845</v>
      </c>
      <c r="F381" s="247"/>
      <c r="G381" s="447" t="s">
        <v>1844</v>
      </c>
      <c r="H381" s="246"/>
      <c r="I381" s="247"/>
      <c r="J381" s="826">
        <v>42109</v>
      </c>
      <c r="K381" s="248"/>
      <c r="L381" s="249">
        <v>0</v>
      </c>
      <c r="M381" s="248"/>
      <c r="N381" s="250"/>
      <c r="O381" s="72"/>
      <c r="P381" s="72"/>
      <c r="Q381" s="827">
        <v>1</v>
      </c>
      <c r="R381" s="72"/>
    </row>
    <row r="382" spans="1:18" ht="90">
      <c r="A382" s="241">
        <v>510</v>
      </c>
      <c r="B382" s="232" t="s">
        <v>660</v>
      </c>
      <c r="C382" s="233"/>
      <c r="D382" s="233">
        <v>188639997</v>
      </c>
      <c r="E382" s="884"/>
      <c r="F382" s="302"/>
      <c r="G382" s="303"/>
      <c r="H382" s="304"/>
      <c r="I382" s="302"/>
      <c r="J382" s="302"/>
      <c r="K382" s="305"/>
      <c r="L382" s="885"/>
      <c r="M382" s="305"/>
      <c r="N382" s="307"/>
      <c r="O382" s="323"/>
      <c r="P382" s="323"/>
      <c r="Q382" s="886"/>
      <c r="R382" s="323"/>
    </row>
    <row r="383" spans="1:18" ht="30">
      <c r="A383" s="241">
        <v>510608002</v>
      </c>
      <c r="B383" s="242" t="s">
        <v>661</v>
      </c>
      <c r="C383" s="243"/>
      <c r="D383" s="243">
        <v>64139997</v>
      </c>
      <c r="E383" s="335"/>
      <c r="F383" s="247"/>
      <c r="G383" s="245"/>
      <c r="H383" s="246"/>
      <c r="I383" s="247"/>
      <c r="J383" s="247"/>
      <c r="K383" s="248"/>
      <c r="L383" s="249"/>
      <c r="M383" s="248"/>
      <c r="N383" s="250"/>
      <c r="O383" s="72"/>
      <c r="P383" s="72"/>
      <c r="Q383" s="827"/>
      <c r="R383" s="72"/>
    </row>
    <row r="384" spans="1:18" ht="105">
      <c r="A384" s="241">
        <v>510608002000027</v>
      </c>
      <c r="B384" s="242" t="s">
        <v>662</v>
      </c>
      <c r="C384" s="243"/>
      <c r="D384" s="243">
        <v>64139997</v>
      </c>
      <c r="E384" s="335"/>
      <c r="F384" s="247"/>
      <c r="G384" s="245"/>
      <c r="H384" s="246"/>
      <c r="I384" s="247"/>
      <c r="J384" s="247"/>
      <c r="K384" s="248"/>
      <c r="L384" s="249"/>
      <c r="M384" s="248"/>
      <c r="N384" s="250"/>
      <c r="O384" s="72"/>
      <c r="P384" s="72"/>
      <c r="Q384" s="827"/>
      <c r="R384" s="72"/>
    </row>
    <row r="385" spans="1:18" ht="90">
      <c r="A385" s="241">
        <v>5.1060800200002704E+16</v>
      </c>
      <c r="B385" s="242" t="s">
        <v>663</v>
      </c>
      <c r="C385" s="243"/>
      <c r="D385" s="243">
        <v>64139997</v>
      </c>
      <c r="E385" s="335"/>
      <c r="F385" s="247"/>
      <c r="G385" s="245"/>
      <c r="H385" s="246"/>
      <c r="I385" s="247"/>
      <c r="J385" s="247"/>
      <c r="K385" s="248"/>
      <c r="L385" s="249"/>
      <c r="M385" s="248"/>
      <c r="N385" s="250"/>
      <c r="O385" s="72"/>
      <c r="P385" s="72"/>
      <c r="Q385" s="827"/>
      <c r="R385" s="72"/>
    </row>
    <row r="386" spans="1:18" ht="195">
      <c r="A386" s="241"/>
      <c r="B386" s="447" t="s">
        <v>1846</v>
      </c>
      <c r="C386" s="249"/>
      <c r="D386" s="825">
        <v>21240000</v>
      </c>
      <c r="E386" s="287" t="s">
        <v>170</v>
      </c>
      <c r="F386" s="247"/>
      <c r="G386" s="447" t="s">
        <v>1846</v>
      </c>
      <c r="H386" s="825">
        <v>21240000</v>
      </c>
      <c r="I386" s="247"/>
      <c r="J386" s="826">
        <v>42107</v>
      </c>
      <c r="K386" s="248"/>
      <c r="L386" s="249">
        <v>0</v>
      </c>
      <c r="M386" s="248"/>
      <c r="N386" s="825">
        <v>21240000</v>
      </c>
      <c r="O386" s="72" t="s">
        <v>579</v>
      </c>
      <c r="P386" s="72"/>
      <c r="Q386" s="827">
        <v>1</v>
      </c>
      <c r="R386" s="72"/>
    </row>
    <row r="387" spans="1:18" ht="195">
      <c r="A387" s="241"/>
      <c r="B387" s="447" t="s">
        <v>1847</v>
      </c>
      <c r="C387" s="249"/>
      <c r="D387" s="825">
        <v>14160000</v>
      </c>
      <c r="E387" s="287" t="s">
        <v>621</v>
      </c>
      <c r="F387" s="247"/>
      <c r="G387" s="447" t="s">
        <v>1847</v>
      </c>
      <c r="H387" s="825">
        <v>14160000</v>
      </c>
      <c r="I387" s="247"/>
      <c r="J387" s="826">
        <v>42107</v>
      </c>
      <c r="K387" s="248"/>
      <c r="L387" s="249">
        <v>0</v>
      </c>
      <c r="M387" s="248"/>
      <c r="N387" s="825">
        <v>14160000</v>
      </c>
      <c r="O387" s="72" t="s">
        <v>579</v>
      </c>
      <c r="P387" s="72"/>
      <c r="Q387" s="827">
        <v>1</v>
      </c>
      <c r="R387" s="72"/>
    </row>
    <row r="388" spans="1:18" ht="180">
      <c r="A388" s="241"/>
      <c r="B388" s="447" t="s">
        <v>1848</v>
      </c>
      <c r="C388" s="249"/>
      <c r="D388" s="825">
        <v>7000000</v>
      </c>
      <c r="E388" s="287" t="s">
        <v>167</v>
      </c>
      <c r="F388" s="247"/>
      <c r="G388" s="447" t="s">
        <v>1848</v>
      </c>
      <c r="H388" s="825">
        <v>7000000</v>
      </c>
      <c r="I388" s="247"/>
      <c r="J388" s="826">
        <v>42109</v>
      </c>
      <c r="K388" s="248"/>
      <c r="L388" s="249">
        <v>0</v>
      </c>
      <c r="M388" s="248"/>
      <c r="N388" s="825">
        <v>7000000</v>
      </c>
      <c r="O388" s="72" t="s">
        <v>579</v>
      </c>
      <c r="P388" s="72"/>
      <c r="Q388" s="827">
        <v>1</v>
      </c>
      <c r="R388" s="72"/>
    </row>
    <row r="389" spans="1:18" ht="180">
      <c r="A389" s="241"/>
      <c r="B389" s="447" t="s">
        <v>1849</v>
      </c>
      <c r="C389" s="249"/>
      <c r="D389" s="825">
        <v>8400000</v>
      </c>
      <c r="E389" s="287" t="s">
        <v>168</v>
      </c>
      <c r="F389" s="247"/>
      <c r="G389" s="447" t="s">
        <v>1849</v>
      </c>
      <c r="H389" s="825">
        <v>8400000</v>
      </c>
      <c r="I389" s="247"/>
      <c r="J389" s="826">
        <v>42129</v>
      </c>
      <c r="K389" s="248"/>
      <c r="L389" s="249">
        <v>0</v>
      </c>
      <c r="M389" s="248"/>
      <c r="N389" s="825">
        <v>8400000</v>
      </c>
      <c r="O389" s="72" t="s">
        <v>579</v>
      </c>
      <c r="P389" s="72"/>
      <c r="Q389" s="827">
        <v>1</v>
      </c>
      <c r="R389" s="72"/>
    </row>
    <row r="390" spans="1:18" ht="165">
      <c r="A390" s="241"/>
      <c r="B390" s="447" t="s">
        <v>1850</v>
      </c>
      <c r="C390" s="249"/>
      <c r="D390" s="825">
        <v>13200000</v>
      </c>
      <c r="E390" s="335" t="s">
        <v>1851</v>
      </c>
      <c r="F390" s="247"/>
      <c r="G390" s="447" t="s">
        <v>1850</v>
      </c>
      <c r="H390" s="825">
        <v>13200000</v>
      </c>
      <c r="I390" s="247"/>
      <c r="J390" s="826">
        <v>42222</v>
      </c>
      <c r="K390" s="248"/>
      <c r="L390" s="249">
        <v>0</v>
      </c>
      <c r="M390" s="248"/>
      <c r="N390" s="825">
        <v>13200000</v>
      </c>
      <c r="O390" s="72"/>
      <c r="P390" s="72"/>
      <c r="Q390" s="827">
        <v>1</v>
      </c>
      <c r="R390" s="72"/>
    </row>
    <row r="391" spans="1:18" ht="45">
      <c r="A391" s="241">
        <v>510608017</v>
      </c>
      <c r="B391" s="242" t="s">
        <v>664</v>
      </c>
      <c r="C391" s="243"/>
      <c r="D391" s="243">
        <v>120000000</v>
      </c>
      <c r="E391" s="335"/>
      <c r="F391" s="247"/>
      <c r="G391" s="245"/>
      <c r="H391" s="246"/>
      <c r="I391" s="247"/>
      <c r="J391" s="247"/>
      <c r="K391" s="248"/>
      <c r="L391" s="249"/>
      <c r="M391" s="248"/>
      <c r="N391" s="250"/>
      <c r="O391" s="72"/>
      <c r="P391" s="72"/>
      <c r="Q391" s="827"/>
      <c r="R391" s="72"/>
    </row>
    <row r="392" spans="1:18" ht="105">
      <c r="A392" s="241">
        <v>510608017000003</v>
      </c>
      <c r="B392" s="338" t="s">
        <v>665</v>
      </c>
      <c r="C392" s="284"/>
      <c r="D392" s="284">
        <v>120000000</v>
      </c>
      <c r="E392" s="335" t="s">
        <v>170</v>
      </c>
      <c r="F392" s="247"/>
      <c r="G392" s="338" t="s">
        <v>665</v>
      </c>
      <c r="H392" s="246"/>
      <c r="I392" s="247"/>
      <c r="J392" s="837"/>
      <c r="K392" s="248"/>
      <c r="L392" s="249">
        <v>0</v>
      </c>
      <c r="M392" s="248"/>
      <c r="N392" s="250"/>
      <c r="O392" s="72"/>
      <c r="P392" s="72"/>
      <c r="Q392" s="827">
        <v>1</v>
      </c>
      <c r="R392" s="72"/>
    </row>
    <row r="393" spans="1:18" ht="90">
      <c r="A393" s="241"/>
      <c r="B393" s="447" t="s">
        <v>1852</v>
      </c>
      <c r="C393" s="284">
        <v>118950000</v>
      </c>
      <c r="D393" s="825">
        <v>55800000</v>
      </c>
      <c r="E393" s="335" t="s">
        <v>1811</v>
      </c>
      <c r="F393" s="247"/>
      <c r="G393" s="447" t="s">
        <v>1852</v>
      </c>
      <c r="H393" s="825">
        <v>55800000</v>
      </c>
      <c r="I393" s="247"/>
      <c r="J393" s="826">
        <v>42100</v>
      </c>
      <c r="K393" s="248"/>
      <c r="L393" s="249">
        <v>0</v>
      </c>
      <c r="M393" s="248"/>
      <c r="N393" s="825">
        <v>55800000</v>
      </c>
      <c r="O393" s="72"/>
      <c r="P393" s="72"/>
      <c r="Q393" s="827">
        <v>1</v>
      </c>
      <c r="R393" s="72"/>
    </row>
    <row r="394" spans="1:18" ht="90">
      <c r="A394" s="241"/>
      <c r="B394" s="447" t="s">
        <v>1853</v>
      </c>
      <c r="C394" s="284"/>
      <c r="D394" s="825">
        <v>41256000</v>
      </c>
      <c r="E394" s="335" t="s">
        <v>1811</v>
      </c>
      <c r="F394" s="247"/>
      <c r="G394" s="447" t="s">
        <v>1853</v>
      </c>
      <c r="H394" s="825">
        <v>41256000</v>
      </c>
      <c r="I394" s="247"/>
      <c r="J394" s="826">
        <v>42100</v>
      </c>
      <c r="K394" s="248"/>
      <c r="L394" s="249"/>
      <c r="M394" s="248"/>
      <c r="N394" s="825">
        <v>41256000</v>
      </c>
      <c r="O394" s="72"/>
      <c r="P394" s="72"/>
      <c r="Q394" s="827">
        <v>1</v>
      </c>
      <c r="R394" s="72"/>
    </row>
    <row r="395" spans="1:18" ht="90">
      <c r="A395" s="241"/>
      <c r="B395" s="447" t="s">
        <v>1854</v>
      </c>
      <c r="C395" s="284"/>
      <c r="D395" s="825">
        <v>6150000</v>
      </c>
      <c r="E395" s="335" t="s">
        <v>1731</v>
      </c>
      <c r="F395" s="247"/>
      <c r="G395" s="447" t="s">
        <v>1854</v>
      </c>
      <c r="H395" s="825">
        <v>6150000</v>
      </c>
      <c r="I395" s="247"/>
      <c r="J395" s="826">
        <v>42135</v>
      </c>
      <c r="K395" s="248"/>
      <c r="L395" s="249"/>
      <c r="M395" s="248"/>
      <c r="N395" s="825">
        <v>6150000</v>
      </c>
      <c r="O395" s="72"/>
      <c r="P395" s="72"/>
      <c r="Q395" s="827">
        <v>1</v>
      </c>
      <c r="R395" s="72"/>
    </row>
    <row r="396" spans="1:18" ht="180">
      <c r="A396" s="241"/>
      <c r="B396" s="447" t="s">
        <v>1855</v>
      </c>
      <c r="C396" s="284"/>
      <c r="D396" s="825">
        <v>8744000</v>
      </c>
      <c r="E396" s="247" t="s">
        <v>170</v>
      </c>
      <c r="F396" s="247"/>
      <c r="G396" s="447" t="s">
        <v>1855</v>
      </c>
      <c r="H396" s="825">
        <v>8744000</v>
      </c>
      <c r="I396" s="247"/>
      <c r="J396" s="826">
        <v>42178</v>
      </c>
      <c r="K396" s="248"/>
      <c r="L396" s="249"/>
      <c r="M396" s="248"/>
      <c r="N396" s="825">
        <v>8744000</v>
      </c>
      <c r="O396" s="72"/>
      <c r="P396" s="72"/>
      <c r="Q396" s="827">
        <v>1</v>
      </c>
      <c r="R396" s="72"/>
    </row>
    <row r="397" spans="1:18" ht="180">
      <c r="A397" s="241"/>
      <c r="B397" s="447" t="s">
        <v>1856</v>
      </c>
      <c r="C397" s="284"/>
      <c r="D397" s="825">
        <v>7000000</v>
      </c>
      <c r="E397" s="247" t="s">
        <v>170</v>
      </c>
      <c r="F397" s="247"/>
      <c r="G397" s="447" t="s">
        <v>1856</v>
      </c>
      <c r="H397" s="825">
        <v>7000000</v>
      </c>
      <c r="I397" s="247"/>
      <c r="J397" s="826">
        <v>42213</v>
      </c>
      <c r="K397" s="248"/>
      <c r="L397" s="249"/>
      <c r="M397" s="248"/>
      <c r="N397" s="825">
        <v>7000000</v>
      </c>
      <c r="O397" s="72"/>
      <c r="P397" s="72"/>
      <c r="Q397" s="827">
        <v>1</v>
      </c>
      <c r="R397" s="72"/>
    </row>
    <row r="398" spans="1:18">
      <c r="A398" s="241"/>
      <c r="B398" s="338" t="s">
        <v>1779</v>
      </c>
      <c r="C398" s="284"/>
      <c r="D398" s="284">
        <v>1050000</v>
      </c>
      <c r="E398" s="335"/>
      <c r="F398" s="247"/>
      <c r="G398" s="338"/>
      <c r="H398" s="246"/>
      <c r="I398" s="247"/>
      <c r="J398" s="837"/>
      <c r="K398" s="248"/>
      <c r="L398" s="249"/>
      <c r="M398" s="248"/>
      <c r="N398" s="284"/>
      <c r="O398" s="72"/>
      <c r="P398" s="72"/>
      <c r="Q398" s="827"/>
      <c r="R398" s="72"/>
    </row>
    <row r="399" spans="1:18" ht="90">
      <c r="A399" s="241">
        <v>5.10608017000004E+16</v>
      </c>
      <c r="B399" s="338" t="s">
        <v>41</v>
      </c>
      <c r="C399" s="284"/>
      <c r="D399" s="825">
        <v>2490040</v>
      </c>
      <c r="E399" s="335" t="s">
        <v>170</v>
      </c>
      <c r="F399" s="247"/>
      <c r="G399" s="338" t="s">
        <v>41</v>
      </c>
      <c r="H399" s="825">
        <v>2490040</v>
      </c>
      <c r="I399" s="247" t="s">
        <v>1857</v>
      </c>
      <c r="J399" s="837">
        <v>42179</v>
      </c>
      <c r="K399" s="248"/>
      <c r="L399" s="249">
        <v>0</v>
      </c>
      <c r="M399" s="248"/>
      <c r="N399" s="284">
        <v>2490040</v>
      </c>
      <c r="O399" s="72"/>
      <c r="P399" s="72"/>
      <c r="Q399" s="827">
        <v>1</v>
      </c>
      <c r="R399" s="72"/>
    </row>
    <row r="400" spans="1:18" ht="60">
      <c r="A400" s="241">
        <v>5.10608017000004E+16</v>
      </c>
      <c r="B400" s="338" t="s">
        <v>666</v>
      </c>
      <c r="C400" s="284"/>
      <c r="D400" s="284">
        <v>1950000</v>
      </c>
      <c r="E400" s="335" t="s">
        <v>1858</v>
      </c>
      <c r="F400" s="247"/>
      <c r="G400" s="338" t="s">
        <v>666</v>
      </c>
      <c r="H400" s="246">
        <v>1950000</v>
      </c>
      <c r="I400" s="247"/>
      <c r="J400" s="826">
        <v>42206</v>
      </c>
      <c r="K400" s="248"/>
      <c r="L400" s="249">
        <v>0</v>
      </c>
      <c r="M400" s="248"/>
      <c r="N400" s="250">
        <v>1950000</v>
      </c>
      <c r="O400" s="72"/>
      <c r="P400" s="72"/>
      <c r="Q400" s="827">
        <v>1</v>
      </c>
      <c r="R400" s="72"/>
    </row>
    <row r="401" spans="2:18" ht="30">
      <c r="B401" s="232" t="s">
        <v>667</v>
      </c>
      <c r="C401" s="233"/>
      <c r="D401" s="233">
        <v>8906003219</v>
      </c>
      <c r="E401" s="884"/>
      <c r="F401" s="235"/>
      <c r="G401" s="330"/>
      <c r="H401" s="306"/>
      <c r="I401" s="302"/>
      <c r="J401" s="302"/>
      <c r="K401" s="305"/>
      <c r="L401" s="306"/>
      <c r="M401" s="305"/>
      <c r="N401" s="307"/>
      <c r="O401" s="323"/>
      <c r="P401" s="323"/>
      <c r="Q401" s="1332" t="s">
        <v>1859</v>
      </c>
      <c r="R401" s="323"/>
    </row>
    <row r="402" spans="2:18">
      <c r="N402" s="334"/>
    </row>
    <row r="403" spans="2:18">
      <c r="D403" s="1333"/>
      <c r="I403" s="43"/>
      <c r="J403" s="333"/>
      <c r="L403" s="333"/>
      <c r="N403" s="334"/>
    </row>
    <row r="404" spans="2:18">
      <c r="I404" s="43"/>
      <c r="J404" s="333"/>
      <c r="L404" s="333"/>
      <c r="N404" s="334"/>
    </row>
    <row r="405" spans="2:18">
      <c r="I405" s="43"/>
      <c r="J405" s="333"/>
      <c r="L405" s="333"/>
      <c r="N405" s="334"/>
    </row>
    <row r="406" spans="2:18">
      <c r="I406" s="43"/>
      <c r="J406" s="333"/>
      <c r="L406" s="333"/>
      <c r="N406" s="334"/>
    </row>
    <row r="407" spans="2:18">
      <c r="N407" s="334"/>
    </row>
    <row r="408" spans="2:18">
      <c r="N408" s="334"/>
    </row>
    <row r="409" spans="2:18">
      <c r="N409" s="334"/>
    </row>
    <row r="410" spans="2:18">
      <c r="N410" s="334"/>
    </row>
    <row r="411" spans="2:18">
      <c r="N411" s="334"/>
    </row>
    <row r="412" spans="2:18">
      <c r="N412" s="334"/>
    </row>
    <row r="413" spans="2:18">
      <c r="N413" s="334"/>
    </row>
    <row r="414" spans="2:18">
      <c r="N414" s="334"/>
    </row>
    <row r="415" spans="2:18">
      <c r="N415" s="334"/>
    </row>
    <row r="416" spans="2:18">
      <c r="N416" s="334"/>
    </row>
    <row r="417" spans="14:14">
      <c r="N417" s="334"/>
    </row>
    <row r="418" spans="14:14">
      <c r="N418" s="334"/>
    </row>
    <row r="419" spans="14:14">
      <c r="N419" s="334"/>
    </row>
    <row r="420" spans="14:14">
      <c r="N420" s="334"/>
    </row>
    <row r="421" spans="14:14">
      <c r="N421" s="334"/>
    </row>
    <row r="422" spans="14:14">
      <c r="N422" s="334"/>
    </row>
    <row r="423" spans="14:14">
      <c r="N423" s="334"/>
    </row>
    <row r="424" spans="14:14">
      <c r="N424" s="334"/>
    </row>
    <row r="425" spans="14:14">
      <c r="N425" s="334"/>
    </row>
    <row r="426" spans="14:14">
      <c r="N426" s="334"/>
    </row>
    <row r="427" spans="14:14">
      <c r="N427" s="334"/>
    </row>
    <row r="428" spans="14:14">
      <c r="N428" s="334"/>
    </row>
    <row r="429" spans="14:14">
      <c r="N429" s="334"/>
    </row>
    <row r="430" spans="14:14">
      <c r="N430" s="334"/>
    </row>
    <row r="431" spans="14:14">
      <c r="N431" s="334"/>
    </row>
    <row r="432" spans="14:14">
      <c r="N432" s="334"/>
    </row>
    <row r="433" spans="14:14">
      <c r="N433" s="334"/>
    </row>
    <row r="434" spans="14:14">
      <c r="N434" s="334"/>
    </row>
    <row r="435" spans="14:14">
      <c r="N435" s="334"/>
    </row>
    <row r="436" spans="14:14">
      <c r="N436" s="334"/>
    </row>
    <row r="437" spans="14:14">
      <c r="N437" s="334"/>
    </row>
    <row r="438" spans="14:14">
      <c r="N438" s="334"/>
    </row>
    <row r="439" spans="14:14">
      <c r="N439" s="334"/>
    </row>
    <row r="440" spans="14:14">
      <c r="N440" s="334"/>
    </row>
    <row r="441" spans="14:14">
      <c r="N441" s="334"/>
    </row>
    <row r="442" spans="14:14">
      <c r="N442" s="334"/>
    </row>
    <row r="443" spans="14:14">
      <c r="N443" s="334"/>
    </row>
    <row r="444" spans="14:14">
      <c r="N444" s="334"/>
    </row>
    <row r="467" spans="5:5">
      <c r="E467" s="1003">
        <v>15672787</v>
      </c>
    </row>
    <row r="468" spans="5:5">
      <c r="E468" s="1003">
        <v>47990942</v>
      </c>
    </row>
    <row r="469" spans="5:5">
      <c r="E469" s="1003">
        <v>23879504</v>
      </c>
    </row>
    <row r="470" spans="5:5">
      <c r="E470" s="1004">
        <v>120429872</v>
      </c>
    </row>
    <row r="471" spans="5:5">
      <c r="E471" s="1003">
        <v>125552765</v>
      </c>
    </row>
    <row r="472" spans="5:5">
      <c r="E472" s="1003">
        <v>70299352</v>
      </c>
    </row>
    <row r="473" spans="5:5">
      <c r="E473" s="1004">
        <v>122405409</v>
      </c>
    </row>
    <row r="474" spans="5:5">
      <c r="E474" s="1003">
        <v>57360000</v>
      </c>
    </row>
    <row r="475" spans="5:5">
      <c r="E475" s="1003">
        <v>46514802</v>
      </c>
    </row>
    <row r="476" spans="5:5">
      <c r="E476" s="1003">
        <v>62327228</v>
      </c>
    </row>
    <row r="477" spans="5:5">
      <c r="E477" s="1003">
        <v>35105748</v>
      </c>
    </row>
    <row r="478" spans="5:5">
      <c r="E478" s="1003">
        <v>23125357</v>
      </c>
    </row>
    <row r="479" spans="5:5">
      <c r="E479" s="1003">
        <v>39728100</v>
      </c>
    </row>
    <row r="480" spans="5:5">
      <c r="E480" s="1003">
        <v>14592548</v>
      </c>
    </row>
    <row r="487" spans="2:3">
      <c r="B487" s="447"/>
      <c r="C487" s="447"/>
    </row>
  </sheetData>
  <mergeCells count="21">
    <mergeCell ref="B2:C2"/>
    <mergeCell ref="D2:R2"/>
    <mergeCell ref="B4:B7"/>
    <mergeCell ref="C4:C7"/>
    <mergeCell ref="D4:D7"/>
    <mergeCell ref="O5:P5"/>
    <mergeCell ref="K6:L6"/>
    <mergeCell ref="M6:N6"/>
    <mergeCell ref="O6:O7"/>
    <mergeCell ref="P6:P7"/>
    <mergeCell ref="F4:F7"/>
    <mergeCell ref="G4:G7"/>
    <mergeCell ref="H4:H7"/>
    <mergeCell ref="I4:I7"/>
    <mergeCell ref="J4:J7"/>
    <mergeCell ref="E4:E7"/>
    <mergeCell ref="K5:N5"/>
    <mergeCell ref="Q5:R5"/>
    <mergeCell ref="Q6:Q7"/>
    <mergeCell ref="R6:R7"/>
    <mergeCell ref="K4:R4"/>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46"/>
  <sheetViews>
    <sheetView zoomScale="80" zoomScaleNormal="80" workbookViewId="0">
      <pane xSplit="3" ySplit="1" topLeftCell="L2" activePane="bottomRight" state="frozen"/>
      <selection pane="topRight" activeCell="D1" sqref="D1"/>
      <selection pane="bottomLeft" activeCell="A6" sqref="A6"/>
      <selection pane="bottomRight" activeCell="S2" sqref="S2"/>
    </sheetView>
  </sheetViews>
  <sheetFormatPr baseColWidth="10" defaultColWidth="10.85546875" defaultRowHeight="15"/>
  <cols>
    <col min="1" max="1" width="20.42578125" style="335" customWidth="1"/>
    <col min="2" max="2" width="28.7109375" style="336" customWidth="1"/>
    <col min="3" max="3" width="74.85546875" style="335" customWidth="1"/>
    <col min="4" max="4" width="27.85546875" style="335" customWidth="1"/>
    <col min="5" max="5" width="40.140625" style="335" customWidth="1"/>
    <col min="6" max="6" width="37.28515625" style="335" customWidth="1"/>
    <col min="7" max="7" width="28.7109375" style="335" customWidth="1"/>
    <col min="8" max="8" width="20.7109375" style="335" customWidth="1"/>
    <col min="9" max="9" width="10.85546875" style="335"/>
    <col min="10" max="10" width="16.7109375" style="335" customWidth="1"/>
    <col min="11" max="13" width="10.85546875" style="335"/>
    <col min="14" max="14" width="16.5703125" style="335" customWidth="1"/>
    <col min="15" max="20" width="10.85546875" style="335"/>
    <col min="21" max="21" width="19.85546875" style="335" customWidth="1"/>
    <col min="22" max="16384" width="10.85546875" style="335"/>
  </cols>
  <sheetData>
    <row r="1" spans="1:21" ht="75" customHeight="1" thickBot="1">
      <c r="A1" s="1801" t="s">
        <v>2775</v>
      </c>
      <c r="B1" s="1804" t="s">
        <v>2776</v>
      </c>
      <c r="C1" s="1806" t="s">
        <v>48</v>
      </c>
      <c r="D1" s="1808" t="s">
        <v>49</v>
      </c>
      <c r="E1" s="1810" t="s">
        <v>229</v>
      </c>
      <c r="F1" s="1793" t="s">
        <v>567</v>
      </c>
      <c r="G1" s="1795" t="s">
        <v>131</v>
      </c>
      <c r="H1" s="1797" t="s">
        <v>231</v>
      </c>
      <c r="I1" s="1799" t="s">
        <v>232</v>
      </c>
      <c r="J1" s="1800" t="s">
        <v>233</v>
      </c>
      <c r="K1" s="1786" t="s">
        <v>234</v>
      </c>
      <c r="L1" s="1786"/>
      <c r="M1" s="1786"/>
      <c r="N1" s="1787"/>
      <c r="O1" s="1788" t="s">
        <v>2777</v>
      </c>
      <c r="P1" s="1789"/>
      <c r="Q1" s="1790" t="s">
        <v>71</v>
      </c>
      <c r="R1" s="1335" t="s">
        <v>2778</v>
      </c>
      <c r="S1" s="1336" t="s">
        <v>2779</v>
      </c>
      <c r="T1" s="1336" t="s">
        <v>2780</v>
      </c>
      <c r="U1" s="1336" t="s">
        <v>2781</v>
      </c>
    </row>
    <row r="2" spans="1:21" ht="35.25" customHeight="1">
      <c r="A2" s="1802"/>
      <c r="B2" s="1805"/>
      <c r="C2" s="1807"/>
      <c r="D2" s="1809"/>
      <c r="E2" s="1811"/>
      <c r="F2" s="1794"/>
      <c r="G2" s="1796"/>
      <c r="H2" s="1798"/>
      <c r="I2" s="1799"/>
      <c r="J2" s="1800"/>
      <c r="K2" s="1786" t="s">
        <v>236</v>
      </c>
      <c r="L2" s="1786"/>
      <c r="M2" s="1786" t="s">
        <v>237</v>
      </c>
      <c r="N2" s="1786"/>
      <c r="O2" s="1337" t="s">
        <v>18</v>
      </c>
      <c r="P2" s="1792" t="s">
        <v>71</v>
      </c>
      <c r="Q2" s="1790"/>
      <c r="R2" s="1338"/>
      <c r="S2" s="1339"/>
      <c r="T2" s="1339"/>
      <c r="U2" s="1339"/>
    </row>
    <row r="3" spans="1:21" ht="32.25" customHeight="1">
      <c r="A3" s="1803"/>
      <c r="B3" s="1805"/>
      <c r="C3" s="1807"/>
      <c r="D3" s="1809"/>
      <c r="E3" s="1811"/>
      <c r="F3" s="1794"/>
      <c r="G3" s="1796"/>
      <c r="H3" s="1798"/>
      <c r="I3" s="1799"/>
      <c r="J3" s="1800"/>
      <c r="K3" s="1340" t="s">
        <v>239</v>
      </c>
      <c r="L3" s="1341" t="s">
        <v>240</v>
      </c>
      <c r="M3" s="1340" t="s">
        <v>239</v>
      </c>
      <c r="N3" s="1342" t="s">
        <v>240</v>
      </c>
      <c r="O3" s="1343"/>
      <c r="P3" s="1790"/>
      <c r="Q3" s="1791"/>
      <c r="R3" s="1338"/>
      <c r="S3" s="1339"/>
      <c r="T3" s="1339"/>
      <c r="U3" s="1339"/>
    </row>
    <row r="4" spans="1:21" s="337" customFormat="1" ht="48">
      <c r="A4" s="1344">
        <v>119</v>
      </c>
      <c r="B4" s="1345" t="s">
        <v>2782</v>
      </c>
      <c r="C4" s="1346" t="s">
        <v>205</v>
      </c>
      <c r="D4" s="1347">
        <v>271164770</v>
      </c>
      <c r="E4" s="1348" t="s">
        <v>2783</v>
      </c>
      <c r="F4" s="1349" t="s">
        <v>37</v>
      </c>
      <c r="G4" s="1350" t="s">
        <v>2784</v>
      </c>
      <c r="H4" s="1351">
        <v>125730703</v>
      </c>
      <c r="I4" s="1352" t="s">
        <v>2785</v>
      </c>
      <c r="J4" s="1353">
        <v>42274</v>
      </c>
      <c r="K4" s="1354" t="s">
        <v>2786</v>
      </c>
      <c r="L4" s="1354"/>
      <c r="M4" s="1355" t="s">
        <v>2787</v>
      </c>
      <c r="N4" s="1356">
        <f>H4</f>
        <v>125730703</v>
      </c>
      <c r="O4" s="1357">
        <v>0.2</v>
      </c>
      <c r="P4" s="1358" t="s">
        <v>2788</v>
      </c>
      <c r="Q4" s="1359" t="s">
        <v>2789</v>
      </c>
      <c r="R4" s="1344" t="s">
        <v>2790</v>
      </c>
      <c r="S4" s="1360"/>
      <c r="T4" s="1360"/>
      <c r="U4" s="1361"/>
    </row>
    <row r="5" spans="1:21" s="337" customFormat="1" ht="96">
      <c r="A5" s="1344">
        <v>14</v>
      </c>
      <c r="B5" s="1345" t="s">
        <v>2791</v>
      </c>
      <c r="C5" s="1346" t="s">
        <v>207</v>
      </c>
      <c r="D5" s="1347">
        <v>64433968</v>
      </c>
      <c r="E5" s="1348" t="s">
        <v>2792</v>
      </c>
      <c r="F5" s="1349" t="s">
        <v>37</v>
      </c>
      <c r="G5" s="1350" t="s">
        <v>2793</v>
      </c>
      <c r="H5" s="1347">
        <v>64295093</v>
      </c>
      <c r="I5" s="1352" t="s">
        <v>2794</v>
      </c>
      <c r="J5" s="1353">
        <v>42122</v>
      </c>
      <c r="K5" s="1354" t="s">
        <v>2786</v>
      </c>
      <c r="L5" s="1354"/>
      <c r="M5" s="1355" t="s">
        <v>2795</v>
      </c>
      <c r="N5" s="1356">
        <f>H5</f>
        <v>64295093</v>
      </c>
      <c r="O5" s="1357">
        <v>1</v>
      </c>
      <c r="P5" s="742" t="s">
        <v>2788</v>
      </c>
      <c r="Q5" s="1359" t="s">
        <v>2789</v>
      </c>
      <c r="R5" s="1362" t="s">
        <v>2790</v>
      </c>
      <c r="S5" s="1360" t="s">
        <v>2796</v>
      </c>
      <c r="T5" s="1360" t="s">
        <v>2797</v>
      </c>
      <c r="U5" s="1361"/>
    </row>
    <row r="6" spans="1:21" s="337" customFormat="1" ht="105" customHeight="1">
      <c r="A6" s="1344">
        <v>79</v>
      </c>
      <c r="B6" s="1345" t="s">
        <v>2798</v>
      </c>
      <c r="C6" s="1346" t="s">
        <v>2799</v>
      </c>
      <c r="D6" s="1347">
        <v>64396561</v>
      </c>
      <c r="E6" s="1348" t="s">
        <v>2800</v>
      </c>
      <c r="F6" s="1349" t="s">
        <v>37</v>
      </c>
      <c r="G6" s="1363" t="s">
        <v>2801</v>
      </c>
      <c r="H6" s="1351">
        <v>62716674</v>
      </c>
      <c r="I6" s="1352" t="s">
        <v>2802</v>
      </c>
      <c r="J6" s="1353">
        <v>42209</v>
      </c>
      <c r="K6" s="1354" t="s">
        <v>2786</v>
      </c>
      <c r="L6" s="1354"/>
      <c r="M6" s="1355" t="s">
        <v>2803</v>
      </c>
      <c r="N6" s="1356">
        <f>H6</f>
        <v>62716674</v>
      </c>
      <c r="O6" s="1357">
        <v>0.9</v>
      </c>
      <c r="P6" s="1327" t="s">
        <v>2788</v>
      </c>
      <c r="Q6" s="1359" t="s">
        <v>2789</v>
      </c>
      <c r="R6" s="1344" t="s">
        <v>2790</v>
      </c>
      <c r="S6" s="1360"/>
      <c r="T6" s="1360"/>
      <c r="U6" s="1361"/>
    </row>
    <row r="7" spans="1:21" ht="38.25" customHeight="1">
      <c r="A7" s="1344">
        <v>121</v>
      </c>
      <c r="B7" s="1345" t="s">
        <v>2804</v>
      </c>
      <c r="C7" s="1346" t="s">
        <v>179</v>
      </c>
      <c r="D7" s="1347">
        <v>897871885</v>
      </c>
      <c r="E7" s="1348" t="s">
        <v>2783</v>
      </c>
      <c r="F7" s="1349" t="s">
        <v>37</v>
      </c>
      <c r="G7" s="1350" t="s">
        <v>2805</v>
      </c>
      <c r="H7" s="1351">
        <v>96500400</v>
      </c>
      <c r="I7" s="1352" t="s">
        <v>2785</v>
      </c>
      <c r="J7" s="1353">
        <v>42274</v>
      </c>
      <c r="K7" s="1354" t="s">
        <v>2786</v>
      </c>
      <c r="L7" s="1354"/>
      <c r="M7" s="1355" t="s">
        <v>2803</v>
      </c>
      <c r="N7" s="1351">
        <v>96500400</v>
      </c>
      <c r="O7" s="1357">
        <v>0.1</v>
      </c>
      <c r="P7" s="1358" t="s">
        <v>2806</v>
      </c>
      <c r="Q7" s="1364" t="s">
        <v>1845</v>
      </c>
      <c r="R7" s="1344" t="s">
        <v>2807</v>
      </c>
      <c r="S7" s="1360"/>
      <c r="T7" s="1360"/>
      <c r="U7" s="1361"/>
    </row>
    <row r="8" spans="1:21" s="337" customFormat="1" ht="63.75">
      <c r="A8" s="1344">
        <v>123</v>
      </c>
      <c r="B8" s="1345" t="s">
        <v>2804</v>
      </c>
      <c r="C8" s="1346" t="s">
        <v>179</v>
      </c>
      <c r="D8" s="1347">
        <v>897871885</v>
      </c>
      <c r="E8" s="1348" t="s">
        <v>2808</v>
      </c>
      <c r="F8" s="1349" t="s">
        <v>37</v>
      </c>
      <c r="G8" s="1350" t="s">
        <v>2809</v>
      </c>
      <c r="H8" s="1351">
        <v>96189636</v>
      </c>
      <c r="I8" s="1352" t="s">
        <v>2785</v>
      </c>
      <c r="J8" s="1353">
        <v>42274</v>
      </c>
      <c r="K8" s="1354" t="s">
        <v>2786</v>
      </c>
      <c r="L8" s="1354"/>
      <c r="M8" s="1355" t="s">
        <v>2803</v>
      </c>
      <c r="N8" s="1351">
        <v>96189636</v>
      </c>
      <c r="O8" s="1357">
        <v>0.1</v>
      </c>
      <c r="P8" s="1358" t="s">
        <v>2806</v>
      </c>
      <c r="Q8" s="1364" t="s">
        <v>1845</v>
      </c>
      <c r="R8" s="1344" t="s">
        <v>2807</v>
      </c>
      <c r="S8" s="1360"/>
      <c r="T8" s="1360"/>
      <c r="U8" s="1361"/>
    </row>
    <row r="9" spans="1:21" ht="38.25" customHeight="1">
      <c r="A9" s="1344">
        <v>122</v>
      </c>
      <c r="B9" s="1345" t="s">
        <v>2804</v>
      </c>
      <c r="C9" s="1346" t="s">
        <v>179</v>
      </c>
      <c r="D9" s="1347">
        <v>897871885</v>
      </c>
      <c r="E9" s="1348" t="s">
        <v>2810</v>
      </c>
      <c r="F9" s="1349" t="s">
        <v>37</v>
      </c>
      <c r="G9" s="1350" t="s">
        <v>2811</v>
      </c>
      <c r="H9" s="1351">
        <v>96055795</v>
      </c>
      <c r="I9" s="1352" t="s">
        <v>2785</v>
      </c>
      <c r="J9" s="1353">
        <v>42274</v>
      </c>
      <c r="K9" s="1354" t="s">
        <v>2786</v>
      </c>
      <c r="L9" s="1354"/>
      <c r="M9" s="1355" t="s">
        <v>2803</v>
      </c>
      <c r="N9" s="1351">
        <v>96055795</v>
      </c>
      <c r="O9" s="1357">
        <v>0.1</v>
      </c>
      <c r="P9" s="1358" t="s">
        <v>2806</v>
      </c>
      <c r="Q9" s="1364" t="s">
        <v>1845</v>
      </c>
      <c r="R9" s="1344" t="s">
        <v>2807</v>
      </c>
      <c r="S9" s="1360"/>
      <c r="T9" s="1360"/>
      <c r="U9" s="1361"/>
    </row>
    <row r="10" spans="1:21" s="337" customFormat="1" ht="228">
      <c r="A10" s="1344">
        <v>25</v>
      </c>
      <c r="B10" s="1345" t="s">
        <v>2804</v>
      </c>
      <c r="C10" s="1346" t="s">
        <v>179</v>
      </c>
      <c r="D10" s="1347">
        <v>897871885</v>
      </c>
      <c r="E10" s="1348" t="s">
        <v>2783</v>
      </c>
      <c r="F10" s="1349" t="s">
        <v>37</v>
      </c>
      <c r="G10" s="1350" t="s">
        <v>2812</v>
      </c>
      <c r="H10" s="1351">
        <v>53031882</v>
      </c>
      <c r="I10" s="1352" t="s">
        <v>2794</v>
      </c>
      <c r="J10" s="1353">
        <v>42124</v>
      </c>
      <c r="K10" s="1365" t="s">
        <v>2786</v>
      </c>
      <c r="L10" s="1354"/>
      <c r="M10" s="1355" t="s">
        <v>1190</v>
      </c>
      <c r="N10" s="1356">
        <v>53031882</v>
      </c>
      <c r="O10" s="1357">
        <v>0.5</v>
      </c>
      <c r="P10" s="1327" t="s">
        <v>2806</v>
      </c>
      <c r="Q10" s="1364" t="s">
        <v>1845</v>
      </c>
      <c r="R10" s="1344" t="s">
        <v>2807</v>
      </c>
      <c r="S10" s="1360" t="s">
        <v>2813</v>
      </c>
      <c r="T10" s="1360" t="s">
        <v>2814</v>
      </c>
      <c r="U10" s="1361"/>
    </row>
    <row r="11" spans="1:21" ht="36" customHeight="1">
      <c r="A11" s="1344">
        <v>26</v>
      </c>
      <c r="B11" s="1345" t="s">
        <v>2804</v>
      </c>
      <c r="C11" s="1346" t="s">
        <v>179</v>
      </c>
      <c r="D11" s="1347">
        <v>897871885</v>
      </c>
      <c r="E11" s="1348" t="s">
        <v>2808</v>
      </c>
      <c r="F11" s="1349" t="s">
        <v>37</v>
      </c>
      <c r="G11" s="1350" t="s">
        <v>2815</v>
      </c>
      <c r="H11" s="1351">
        <v>52795926</v>
      </c>
      <c r="I11" s="1352" t="s">
        <v>2794</v>
      </c>
      <c r="J11" s="1353">
        <v>42124</v>
      </c>
      <c r="K11" s="1365" t="s">
        <v>2786</v>
      </c>
      <c r="L11" s="1354"/>
      <c r="M11" s="1355" t="s">
        <v>1190</v>
      </c>
      <c r="N11" s="1351">
        <v>52795926</v>
      </c>
      <c r="O11" s="1357">
        <v>0.5</v>
      </c>
      <c r="P11" s="1327" t="s">
        <v>2806</v>
      </c>
      <c r="Q11" s="1364" t="s">
        <v>1845</v>
      </c>
      <c r="R11" s="1344" t="s">
        <v>2807</v>
      </c>
      <c r="S11" s="1360" t="s">
        <v>2813</v>
      </c>
      <c r="T11" s="1360" t="s">
        <v>2816</v>
      </c>
      <c r="U11" s="1361"/>
    </row>
    <row r="12" spans="1:21" ht="29.25" customHeight="1">
      <c r="A12" s="1344">
        <v>27</v>
      </c>
      <c r="B12" s="1345" t="s">
        <v>2804</v>
      </c>
      <c r="C12" s="1346" t="s">
        <v>179</v>
      </c>
      <c r="D12" s="1347">
        <v>897871885</v>
      </c>
      <c r="E12" s="1348" t="s">
        <v>2810</v>
      </c>
      <c r="F12" s="1349" t="s">
        <v>37</v>
      </c>
      <c r="G12" s="1350" t="s">
        <v>2817</v>
      </c>
      <c r="H12" s="1351">
        <v>52700658</v>
      </c>
      <c r="I12" s="1352" t="s">
        <v>2794</v>
      </c>
      <c r="J12" s="1353">
        <v>42124</v>
      </c>
      <c r="K12" s="1365" t="s">
        <v>2786</v>
      </c>
      <c r="L12" s="1354"/>
      <c r="M12" s="1355" t="s">
        <v>1190</v>
      </c>
      <c r="N12" s="1356">
        <v>52700658</v>
      </c>
      <c r="O12" s="1357">
        <v>0.5</v>
      </c>
      <c r="P12" s="1327" t="s">
        <v>2806</v>
      </c>
      <c r="Q12" s="1364" t="s">
        <v>1845</v>
      </c>
      <c r="R12" s="1344" t="s">
        <v>2807</v>
      </c>
      <c r="S12" s="1360" t="s">
        <v>2813</v>
      </c>
      <c r="T12" s="1360" t="s">
        <v>2818</v>
      </c>
      <c r="U12" s="1361"/>
    </row>
    <row r="13" spans="1:21" s="337" customFormat="1" ht="156">
      <c r="A13" s="1344">
        <v>30</v>
      </c>
      <c r="B13" s="1345" t="s">
        <v>2804</v>
      </c>
      <c r="C13" s="1346" t="s">
        <v>179</v>
      </c>
      <c r="D13" s="1347">
        <v>897871885</v>
      </c>
      <c r="E13" s="1348" t="s">
        <v>2819</v>
      </c>
      <c r="F13" s="1349" t="s">
        <v>37</v>
      </c>
      <c r="G13" s="1350" t="s">
        <v>2820</v>
      </c>
      <c r="H13" s="1351">
        <v>52133362</v>
      </c>
      <c r="I13" s="1352" t="s">
        <v>2794</v>
      </c>
      <c r="J13" s="1353">
        <v>42124</v>
      </c>
      <c r="K13" s="1365" t="s">
        <v>2786</v>
      </c>
      <c r="L13" s="1354"/>
      <c r="M13" s="1355" t="s">
        <v>1190</v>
      </c>
      <c r="N13" s="1351">
        <v>52133362</v>
      </c>
      <c r="O13" s="1357">
        <v>0.5</v>
      </c>
      <c r="P13" s="1327" t="s">
        <v>2806</v>
      </c>
      <c r="Q13" s="1364" t="s">
        <v>1845</v>
      </c>
      <c r="R13" s="1344" t="s">
        <v>2807</v>
      </c>
      <c r="S13" s="1360" t="s">
        <v>2813</v>
      </c>
      <c r="T13" s="1360" t="s">
        <v>2821</v>
      </c>
      <c r="U13" s="1361"/>
    </row>
    <row r="14" spans="1:21" s="337" customFormat="1" ht="132">
      <c r="A14" s="1344">
        <v>24</v>
      </c>
      <c r="B14" s="1345" t="s">
        <v>2804</v>
      </c>
      <c r="C14" s="1346" t="s">
        <v>179</v>
      </c>
      <c r="D14" s="1347">
        <v>897871885</v>
      </c>
      <c r="E14" s="1348" t="s">
        <v>2822</v>
      </c>
      <c r="F14" s="1349" t="s">
        <v>37</v>
      </c>
      <c r="G14" s="1350" t="s">
        <v>2823</v>
      </c>
      <c r="H14" s="1351">
        <v>51970895</v>
      </c>
      <c r="I14" s="1352" t="s">
        <v>2794</v>
      </c>
      <c r="J14" s="1353">
        <v>42123</v>
      </c>
      <c r="K14" s="1365" t="s">
        <v>2786</v>
      </c>
      <c r="L14" s="1354"/>
      <c r="M14" s="1355" t="s">
        <v>1190</v>
      </c>
      <c r="N14" s="1356">
        <v>51970895</v>
      </c>
      <c r="O14" s="1357">
        <v>0.5</v>
      </c>
      <c r="P14" s="1358" t="s">
        <v>2806</v>
      </c>
      <c r="Q14" s="1364" t="s">
        <v>1845</v>
      </c>
      <c r="R14" s="1344" t="s">
        <v>2807</v>
      </c>
      <c r="S14" s="1360" t="s">
        <v>2813</v>
      </c>
      <c r="T14" s="1360" t="s">
        <v>2824</v>
      </c>
      <c r="U14" s="1361"/>
    </row>
    <row r="15" spans="1:21" s="337" customFormat="1" ht="63.75">
      <c r="A15" s="1344">
        <v>96</v>
      </c>
      <c r="B15" s="1345" t="s">
        <v>2804</v>
      </c>
      <c r="C15" s="1346" t="s">
        <v>179</v>
      </c>
      <c r="D15" s="1347">
        <v>897871885</v>
      </c>
      <c r="E15" s="1348" t="s">
        <v>2822</v>
      </c>
      <c r="F15" s="1349" t="s">
        <v>37</v>
      </c>
      <c r="G15" s="1350" t="s">
        <v>2825</v>
      </c>
      <c r="H15" s="1351">
        <v>49345796</v>
      </c>
      <c r="I15" s="1352" t="s">
        <v>2795</v>
      </c>
      <c r="J15" s="1353">
        <v>42219</v>
      </c>
      <c r="K15" s="1354" t="s">
        <v>2786</v>
      </c>
      <c r="L15" s="1354"/>
      <c r="M15" s="1355" t="s">
        <v>1351</v>
      </c>
      <c r="N15" s="1351">
        <v>49345796</v>
      </c>
      <c r="O15" s="1357">
        <v>0.1</v>
      </c>
      <c r="P15" s="1358" t="s">
        <v>2806</v>
      </c>
      <c r="Q15" s="1364" t="s">
        <v>1845</v>
      </c>
      <c r="R15" s="1344" t="s">
        <v>2826</v>
      </c>
      <c r="S15" s="1360"/>
      <c r="T15" s="1360"/>
      <c r="U15" s="1361"/>
    </row>
    <row r="16" spans="1:21" s="337" customFormat="1" ht="72">
      <c r="A16" s="1344">
        <v>94</v>
      </c>
      <c r="B16" s="1345" t="s">
        <v>2804</v>
      </c>
      <c r="C16" s="1346" t="s">
        <v>179</v>
      </c>
      <c r="D16" s="1347">
        <v>897871885</v>
      </c>
      <c r="E16" s="1348" t="s">
        <v>2819</v>
      </c>
      <c r="F16" s="1349" t="s">
        <v>37</v>
      </c>
      <c r="G16" s="1350" t="s">
        <v>2827</v>
      </c>
      <c r="H16" s="1351">
        <v>49328152</v>
      </c>
      <c r="I16" s="1352" t="s">
        <v>2795</v>
      </c>
      <c r="J16" s="1353">
        <v>42219</v>
      </c>
      <c r="K16" s="1354" t="s">
        <v>2786</v>
      </c>
      <c r="L16" s="1354"/>
      <c r="M16" s="1355" t="s">
        <v>1351</v>
      </c>
      <c r="N16" s="1351">
        <v>49328152</v>
      </c>
      <c r="O16" s="1357">
        <v>0.1</v>
      </c>
      <c r="P16" s="1358" t="s">
        <v>2806</v>
      </c>
      <c r="Q16" s="1364" t="s">
        <v>1845</v>
      </c>
      <c r="R16" s="1344" t="s">
        <v>2828</v>
      </c>
      <c r="S16" s="1360"/>
      <c r="T16" s="1360"/>
      <c r="U16" s="1361"/>
    </row>
    <row r="17" spans="1:21" s="337" customFormat="1" ht="156">
      <c r="A17" s="1344">
        <v>54</v>
      </c>
      <c r="B17" s="1345" t="s">
        <v>2804</v>
      </c>
      <c r="C17" s="1346" t="s">
        <v>179</v>
      </c>
      <c r="D17" s="1347">
        <v>897871885</v>
      </c>
      <c r="E17" s="1348" t="s">
        <v>2792</v>
      </c>
      <c r="F17" s="1349" t="s">
        <v>37</v>
      </c>
      <c r="G17" s="1350" t="s">
        <v>2829</v>
      </c>
      <c r="H17" s="1351">
        <v>48326736</v>
      </c>
      <c r="I17" s="1352" t="s">
        <v>2830</v>
      </c>
      <c r="J17" s="1353">
        <v>42192</v>
      </c>
      <c r="K17" s="1354" t="s">
        <v>2786</v>
      </c>
      <c r="L17" s="1354"/>
      <c r="M17" s="1355" t="s">
        <v>1351</v>
      </c>
      <c r="N17" s="1351">
        <v>48326736</v>
      </c>
      <c r="O17" s="1357">
        <v>0.2</v>
      </c>
      <c r="P17" s="1358" t="s">
        <v>2806</v>
      </c>
      <c r="Q17" s="1364" t="s">
        <v>1845</v>
      </c>
      <c r="R17" s="1344" t="s">
        <v>2831</v>
      </c>
      <c r="S17" s="1366">
        <v>42264</v>
      </c>
      <c r="T17" s="1366" t="s">
        <v>2832</v>
      </c>
      <c r="U17" s="1361"/>
    </row>
    <row r="18" spans="1:21" s="337" customFormat="1" ht="132">
      <c r="A18" s="1344">
        <v>29</v>
      </c>
      <c r="B18" s="1345" t="s">
        <v>2804</v>
      </c>
      <c r="C18" s="1346" t="s">
        <v>179</v>
      </c>
      <c r="D18" s="1347">
        <v>897871885</v>
      </c>
      <c r="E18" s="1348" t="s">
        <v>2833</v>
      </c>
      <c r="F18" s="1349" t="s">
        <v>37</v>
      </c>
      <c r="G18" s="1350" t="s">
        <v>2834</v>
      </c>
      <c r="H18" s="1351">
        <v>44873579</v>
      </c>
      <c r="I18" s="1352" t="s">
        <v>2794</v>
      </c>
      <c r="J18" s="1353">
        <v>42124</v>
      </c>
      <c r="K18" s="1365" t="s">
        <v>2786</v>
      </c>
      <c r="L18" s="1354"/>
      <c r="M18" s="1355" t="s">
        <v>1190</v>
      </c>
      <c r="N18" s="1351">
        <v>44873579</v>
      </c>
      <c r="O18" s="1357">
        <v>0.5</v>
      </c>
      <c r="P18" s="1327" t="s">
        <v>2806</v>
      </c>
      <c r="Q18" s="1364" t="s">
        <v>1845</v>
      </c>
      <c r="R18" s="1344" t="s">
        <v>2807</v>
      </c>
      <c r="S18" s="1360" t="s">
        <v>2835</v>
      </c>
      <c r="T18" s="1360" t="s">
        <v>2836</v>
      </c>
      <c r="U18" s="1361"/>
    </row>
    <row r="19" spans="1:21" s="337" customFormat="1" ht="144">
      <c r="A19" s="1344">
        <v>28</v>
      </c>
      <c r="B19" s="1345" t="s">
        <v>2804</v>
      </c>
      <c r="C19" s="1346" t="s">
        <v>179</v>
      </c>
      <c r="D19" s="1347">
        <v>897871885</v>
      </c>
      <c r="E19" s="1348" t="s">
        <v>2837</v>
      </c>
      <c r="F19" s="1349" t="s">
        <v>37</v>
      </c>
      <c r="G19" s="1350" t="s">
        <v>2838</v>
      </c>
      <c r="H19" s="1351">
        <v>44395573</v>
      </c>
      <c r="I19" s="1352" t="s">
        <v>2794</v>
      </c>
      <c r="J19" s="1353">
        <v>42124</v>
      </c>
      <c r="K19" s="1365" t="s">
        <v>2786</v>
      </c>
      <c r="L19" s="1354"/>
      <c r="M19" s="1355" t="s">
        <v>1190</v>
      </c>
      <c r="N19" s="1351">
        <v>44395573</v>
      </c>
      <c r="O19" s="1357">
        <v>0.5</v>
      </c>
      <c r="P19" s="1327" t="s">
        <v>2806</v>
      </c>
      <c r="Q19" s="1364" t="s">
        <v>1845</v>
      </c>
      <c r="R19" s="1344" t="s">
        <v>2807</v>
      </c>
      <c r="S19" s="1367" t="s">
        <v>2835</v>
      </c>
      <c r="T19" s="1360" t="s">
        <v>2839</v>
      </c>
      <c r="U19" s="1361"/>
    </row>
    <row r="20" spans="1:21" s="337" customFormat="1" ht="48">
      <c r="A20" s="1344">
        <v>89</v>
      </c>
      <c r="B20" s="1345" t="s">
        <v>2840</v>
      </c>
      <c r="C20" s="1346" t="s">
        <v>180</v>
      </c>
      <c r="D20" s="1347">
        <v>665747066</v>
      </c>
      <c r="E20" s="1348" t="s">
        <v>2783</v>
      </c>
      <c r="F20" s="1349" t="s">
        <v>37</v>
      </c>
      <c r="G20" s="1350" t="s">
        <v>2841</v>
      </c>
      <c r="H20" s="1351">
        <v>128407079</v>
      </c>
      <c r="I20" s="1352" t="s">
        <v>2795</v>
      </c>
      <c r="J20" s="1353">
        <v>42237</v>
      </c>
      <c r="K20" s="1354" t="s">
        <v>2786</v>
      </c>
      <c r="L20" s="1354"/>
      <c r="M20" s="1355" t="s">
        <v>2803</v>
      </c>
      <c r="N20" s="1356">
        <f>H20</f>
        <v>128407079</v>
      </c>
      <c r="O20" s="1357">
        <v>0.2</v>
      </c>
      <c r="P20" s="1358" t="s">
        <v>2842</v>
      </c>
      <c r="Q20" s="1368" t="s">
        <v>2843</v>
      </c>
      <c r="R20" s="1344" t="s">
        <v>2844</v>
      </c>
      <c r="S20" s="1360"/>
      <c r="T20" s="1360"/>
      <c r="U20" s="1361"/>
    </row>
    <row r="21" spans="1:21" s="337" customFormat="1" ht="48">
      <c r="A21" s="1344">
        <v>48</v>
      </c>
      <c r="B21" s="1345" t="s">
        <v>2840</v>
      </c>
      <c r="C21" s="1346" t="s">
        <v>180</v>
      </c>
      <c r="D21" s="1347">
        <v>665747066</v>
      </c>
      <c r="E21" s="1348" t="s">
        <v>2822</v>
      </c>
      <c r="F21" s="1349" t="s">
        <v>37</v>
      </c>
      <c r="G21" s="1350" t="s">
        <v>2845</v>
      </c>
      <c r="H21" s="1351">
        <v>61525527</v>
      </c>
      <c r="I21" s="1352" t="s">
        <v>2830</v>
      </c>
      <c r="J21" s="1353">
        <v>42160</v>
      </c>
      <c r="K21" s="1354" t="s">
        <v>2786</v>
      </c>
      <c r="L21" s="1354"/>
      <c r="M21" s="1355" t="s">
        <v>2846</v>
      </c>
      <c r="N21" s="1356">
        <f>H21</f>
        <v>61525527</v>
      </c>
      <c r="O21" s="1357">
        <v>1</v>
      </c>
      <c r="P21" s="1358" t="s">
        <v>2842</v>
      </c>
      <c r="Q21" s="1368" t="s">
        <v>2843</v>
      </c>
      <c r="R21" s="1344" t="s">
        <v>2847</v>
      </c>
      <c r="S21" s="1366">
        <v>42216</v>
      </c>
      <c r="T21" s="1366" t="s">
        <v>2848</v>
      </c>
      <c r="U21" s="1361"/>
    </row>
    <row r="22" spans="1:21" ht="24.75" customHeight="1">
      <c r="A22" s="1344">
        <v>88</v>
      </c>
      <c r="B22" s="1345" t="s">
        <v>2849</v>
      </c>
      <c r="C22" s="1346" t="s">
        <v>221</v>
      </c>
      <c r="D22" s="1347">
        <v>367100000</v>
      </c>
      <c r="E22" s="1348" t="s">
        <v>2783</v>
      </c>
      <c r="F22" s="1349" t="s">
        <v>37</v>
      </c>
      <c r="G22" s="1350" t="s">
        <v>2850</v>
      </c>
      <c r="H22" s="1351">
        <v>99651229</v>
      </c>
      <c r="I22" s="1352" t="s">
        <v>2795</v>
      </c>
      <c r="J22" s="1353">
        <v>42237</v>
      </c>
      <c r="K22" s="1354" t="s">
        <v>2786</v>
      </c>
      <c r="L22" s="1354"/>
      <c r="M22" s="1355" t="s">
        <v>2803</v>
      </c>
      <c r="N22" s="1356">
        <f>H22</f>
        <v>99651229</v>
      </c>
      <c r="O22" s="1357">
        <v>0.2</v>
      </c>
      <c r="P22" s="1358" t="s">
        <v>2842</v>
      </c>
      <c r="Q22" s="1368" t="s">
        <v>2843</v>
      </c>
      <c r="R22" s="1344" t="s">
        <v>2844</v>
      </c>
      <c r="S22" s="1360"/>
      <c r="T22" s="1360"/>
      <c r="U22" s="1361"/>
    </row>
    <row r="23" spans="1:21" s="337" customFormat="1" ht="72">
      <c r="A23" s="1344">
        <v>116</v>
      </c>
      <c r="B23" s="1345" t="s">
        <v>2851</v>
      </c>
      <c r="C23" s="1346" t="s">
        <v>2852</v>
      </c>
      <c r="D23" s="1347">
        <v>193200000</v>
      </c>
      <c r="E23" s="1348" t="s">
        <v>2808</v>
      </c>
      <c r="F23" s="1349" t="s">
        <v>37</v>
      </c>
      <c r="G23" s="1350" t="s">
        <v>2853</v>
      </c>
      <c r="H23" s="1351">
        <v>51684478</v>
      </c>
      <c r="I23" s="1352" t="s">
        <v>2846</v>
      </c>
      <c r="J23" s="1353">
        <v>42256</v>
      </c>
      <c r="K23" s="1354" t="s">
        <v>2786</v>
      </c>
      <c r="L23" s="1354"/>
      <c r="M23" s="1355" t="s">
        <v>2787</v>
      </c>
      <c r="N23" s="1356">
        <f>H23</f>
        <v>51684478</v>
      </c>
      <c r="O23" s="1357">
        <v>0.3</v>
      </c>
      <c r="P23" s="1358" t="s">
        <v>2842</v>
      </c>
      <c r="Q23" s="1368" t="s">
        <v>2843</v>
      </c>
      <c r="R23" s="1344" t="s">
        <v>2847</v>
      </c>
      <c r="S23" s="1369"/>
      <c r="T23" s="1369"/>
      <c r="U23" s="1361"/>
    </row>
    <row r="24" spans="1:21" s="337" customFormat="1" ht="84">
      <c r="A24" s="1344">
        <v>124</v>
      </c>
      <c r="B24" s="1345" t="s">
        <v>2854</v>
      </c>
      <c r="C24" s="1346" t="s">
        <v>2855</v>
      </c>
      <c r="D24" s="1347">
        <v>118000000</v>
      </c>
      <c r="E24" s="1348" t="s">
        <v>2810</v>
      </c>
      <c r="F24" s="1349" t="s">
        <v>37</v>
      </c>
      <c r="G24" s="1350" t="s">
        <v>2856</v>
      </c>
      <c r="H24" s="1351">
        <v>117426735</v>
      </c>
      <c r="I24" s="1352" t="s">
        <v>2785</v>
      </c>
      <c r="J24" s="1353">
        <v>42274</v>
      </c>
      <c r="K24" s="1354" t="s">
        <v>2786</v>
      </c>
      <c r="L24" s="1354"/>
      <c r="M24" s="1355" t="s">
        <v>2857</v>
      </c>
      <c r="N24" s="1351">
        <v>117426735</v>
      </c>
      <c r="O24" s="1357">
        <v>0.1</v>
      </c>
      <c r="P24" s="1358" t="s">
        <v>2806</v>
      </c>
      <c r="Q24" s="1364" t="s">
        <v>1845</v>
      </c>
      <c r="R24" s="1344" t="s">
        <v>2844</v>
      </c>
      <c r="S24" s="1360"/>
      <c r="T24" s="1360"/>
      <c r="U24" s="1361"/>
    </row>
    <row r="25" spans="1:21" ht="24.75" customHeight="1">
      <c r="A25" s="1344">
        <v>91</v>
      </c>
      <c r="B25" s="1345" t="s">
        <v>2858</v>
      </c>
      <c r="C25" s="1346" t="s">
        <v>176</v>
      </c>
      <c r="D25" s="1347">
        <v>548100000</v>
      </c>
      <c r="E25" s="1348" t="s">
        <v>2808</v>
      </c>
      <c r="F25" s="1349" t="s">
        <v>37</v>
      </c>
      <c r="G25" s="1350" t="s">
        <v>2859</v>
      </c>
      <c r="H25" s="1351">
        <v>115980044</v>
      </c>
      <c r="I25" s="1352" t="s">
        <v>2795</v>
      </c>
      <c r="J25" s="1353">
        <v>42243</v>
      </c>
      <c r="K25" s="1354" t="s">
        <v>2786</v>
      </c>
      <c r="L25" s="1354"/>
      <c r="M25" s="1355" t="s">
        <v>2803</v>
      </c>
      <c r="N25" s="1356">
        <f>H25</f>
        <v>115980044</v>
      </c>
      <c r="O25" s="1357">
        <v>0.2</v>
      </c>
      <c r="P25" s="1358" t="s">
        <v>2842</v>
      </c>
      <c r="Q25" s="1368" t="s">
        <v>2843</v>
      </c>
      <c r="R25" s="1344" t="s">
        <v>2844</v>
      </c>
      <c r="S25" s="1360"/>
      <c r="T25" s="1360"/>
      <c r="U25" s="1361"/>
    </row>
    <row r="26" spans="1:21" s="337" customFormat="1" ht="48" customHeight="1">
      <c r="A26" s="1344">
        <v>118</v>
      </c>
      <c r="B26" s="1345" t="s">
        <v>2858</v>
      </c>
      <c r="C26" s="1346" t="s">
        <v>176</v>
      </c>
      <c r="D26" s="1347">
        <v>548100000</v>
      </c>
      <c r="E26" s="1348" t="s">
        <v>2819</v>
      </c>
      <c r="F26" s="1349" t="s">
        <v>37</v>
      </c>
      <c r="G26" s="1350" t="s">
        <v>2860</v>
      </c>
      <c r="H26" s="1351">
        <v>102446586</v>
      </c>
      <c r="I26" s="1352" t="s">
        <v>2846</v>
      </c>
      <c r="J26" s="1353">
        <v>42265</v>
      </c>
      <c r="K26" s="1354" t="s">
        <v>2786</v>
      </c>
      <c r="L26" s="1354"/>
      <c r="M26" s="1355" t="s">
        <v>2787</v>
      </c>
      <c r="N26" s="1356">
        <f>H26</f>
        <v>102446586</v>
      </c>
      <c r="O26" s="1357">
        <v>0.1</v>
      </c>
      <c r="P26" s="1358" t="s">
        <v>2842</v>
      </c>
      <c r="Q26" s="1368" t="s">
        <v>2843</v>
      </c>
      <c r="R26" s="1344" t="s">
        <v>2844</v>
      </c>
      <c r="S26" s="1360"/>
      <c r="T26" s="1360"/>
      <c r="U26" s="1361"/>
    </row>
    <row r="27" spans="1:21" s="337" customFormat="1" ht="48" customHeight="1">
      <c r="A27" s="1344">
        <v>93</v>
      </c>
      <c r="B27" s="1345" t="s">
        <v>2858</v>
      </c>
      <c r="C27" s="1346" t="s">
        <v>176</v>
      </c>
      <c r="D27" s="1347">
        <v>548100000</v>
      </c>
      <c r="E27" s="1348" t="s">
        <v>2783</v>
      </c>
      <c r="F27" s="1349" t="s">
        <v>37</v>
      </c>
      <c r="G27" s="1350" t="s">
        <v>2861</v>
      </c>
      <c r="H27" s="1351">
        <v>100691745</v>
      </c>
      <c r="I27" s="1352" t="s">
        <v>2795</v>
      </c>
      <c r="J27" s="1353">
        <v>42244</v>
      </c>
      <c r="K27" s="1354" t="s">
        <v>2786</v>
      </c>
      <c r="L27" s="1354"/>
      <c r="M27" s="1355" t="s">
        <v>2803</v>
      </c>
      <c r="N27" s="1356">
        <f>H27</f>
        <v>100691745</v>
      </c>
      <c r="O27" s="1357">
        <v>0.2</v>
      </c>
      <c r="P27" s="1358" t="s">
        <v>2842</v>
      </c>
      <c r="Q27" s="1368" t="s">
        <v>2843</v>
      </c>
      <c r="R27" s="1344" t="s">
        <v>2844</v>
      </c>
      <c r="S27" s="1360"/>
      <c r="T27" s="1360"/>
      <c r="U27" s="1361"/>
    </row>
    <row r="28" spans="1:21" s="337" customFormat="1" ht="52.5" customHeight="1">
      <c r="A28" s="1344">
        <v>90</v>
      </c>
      <c r="B28" s="1345" t="s">
        <v>2858</v>
      </c>
      <c r="C28" s="1346" t="s">
        <v>176</v>
      </c>
      <c r="D28" s="1347">
        <v>548100000</v>
      </c>
      <c r="E28" s="1348" t="s">
        <v>2810</v>
      </c>
      <c r="F28" s="1349" t="s">
        <v>37</v>
      </c>
      <c r="G28" s="1350" t="s">
        <v>2862</v>
      </c>
      <c r="H28" s="1351">
        <v>82562732</v>
      </c>
      <c r="I28" s="1352" t="s">
        <v>2795</v>
      </c>
      <c r="J28" s="1353">
        <v>42237</v>
      </c>
      <c r="K28" s="1354" t="s">
        <v>2786</v>
      </c>
      <c r="L28" s="1354"/>
      <c r="M28" s="1355" t="s">
        <v>2803</v>
      </c>
      <c r="N28" s="1356">
        <f>H28</f>
        <v>82562732</v>
      </c>
      <c r="O28" s="1357">
        <v>0.2</v>
      </c>
      <c r="P28" s="1358" t="s">
        <v>2842</v>
      </c>
      <c r="Q28" s="1368" t="s">
        <v>2843</v>
      </c>
      <c r="R28" s="1344" t="s">
        <v>2844</v>
      </c>
      <c r="S28" s="1360"/>
      <c r="T28" s="1360"/>
      <c r="U28" s="1361"/>
    </row>
    <row r="29" spans="1:21" ht="26.25" customHeight="1">
      <c r="A29" s="1344">
        <v>102</v>
      </c>
      <c r="B29" s="1345" t="s">
        <v>2863</v>
      </c>
      <c r="C29" s="1346" t="s">
        <v>82</v>
      </c>
      <c r="D29" s="1347">
        <v>410000000</v>
      </c>
      <c r="E29" s="1348" t="s">
        <v>2783</v>
      </c>
      <c r="F29" s="1349" t="s">
        <v>37</v>
      </c>
      <c r="G29" s="1350" t="s">
        <v>2864</v>
      </c>
      <c r="H29" s="1351">
        <v>53395357</v>
      </c>
      <c r="I29" s="1352" t="s">
        <v>2795</v>
      </c>
      <c r="J29" s="1353">
        <v>42226</v>
      </c>
      <c r="K29" s="1354" t="s">
        <v>2786</v>
      </c>
      <c r="L29" s="1354"/>
      <c r="M29" s="1355" t="s">
        <v>2803</v>
      </c>
      <c r="N29" s="1351">
        <v>53395357</v>
      </c>
      <c r="O29" s="1357">
        <v>0.2</v>
      </c>
      <c r="P29" s="1358" t="s">
        <v>2806</v>
      </c>
      <c r="Q29" s="1364" t="s">
        <v>1845</v>
      </c>
      <c r="R29" s="1344" t="s">
        <v>2847</v>
      </c>
      <c r="S29" s="1360"/>
      <c r="T29" s="1360"/>
      <c r="U29" s="1361"/>
    </row>
    <row r="30" spans="1:21" s="337" customFormat="1" ht="165.75">
      <c r="A30" s="1344">
        <v>7</v>
      </c>
      <c r="B30" s="1345" t="s">
        <v>2863</v>
      </c>
      <c r="C30" s="1346" t="s">
        <v>82</v>
      </c>
      <c r="D30" s="1347">
        <v>410000000</v>
      </c>
      <c r="E30" s="1348" t="s">
        <v>2822</v>
      </c>
      <c r="F30" s="1349" t="s">
        <v>37</v>
      </c>
      <c r="G30" s="1350" t="s">
        <v>2865</v>
      </c>
      <c r="H30" s="1347">
        <v>53302311</v>
      </c>
      <c r="I30" s="1352" t="s">
        <v>2866</v>
      </c>
      <c r="J30" s="1353">
        <v>42109</v>
      </c>
      <c r="K30" s="1365" t="s">
        <v>2786</v>
      </c>
      <c r="L30" s="1354"/>
      <c r="M30" s="1355" t="s">
        <v>2846</v>
      </c>
      <c r="N30" s="1356">
        <v>53302311</v>
      </c>
      <c r="O30" s="1357">
        <v>0.74</v>
      </c>
      <c r="P30" s="742" t="s">
        <v>2806</v>
      </c>
      <c r="Q30" s="1364" t="s">
        <v>1845</v>
      </c>
      <c r="R30" s="1362" t="s">
        <v>2867</v>
      </c>
      <c r="S30" s="1360" t="s">
        <v>2868</v>
      </c>
      <c r="T30" s="1360" t="s">
        <v>2869</v>
      </c>
      <c r="U30" s="1361"/>
    </row>
    <row r="31" spans="1:21" s="337" customFormat="1" ht="153">
      <c r="A31" s="1344">
        <v>8</v>
      </c>
      <c r="B31" s="1345" t="s">
        <v>2863</v>
      </c>
      <c r="C31" s="1346" t="s">
        <v>82</v>
      </c>
      <c r="D31" s="1347">
        <v>410000000</v>
      </c>
      <c r="E31" s="1348" t="s">
        <v>2833</v>
      </c>
      <c r="F31" s="1349" t="s">
        <v>37</v>
      </c>
      <c r="G31" s="1350" t="s">
        <v>2870</v>
      </c>
      <c r="H31" s="1347">
        <v>53145434</v>
      </c>
      <c r="I31" s="1352" t="s">
        <v>2866</v>
      </c>
      <c r="J31" s="1353">
        <v>42109</v>
      </c>
      <c r="K31" s="1365" t="s">
        <v>2786</v>
      </c>
      <c r="L31" s="1354"/>
      <c r="M31" s="1355" t="s">
        <v>2846</v>
      </c>
      <c r="N31" s="1347">
        <v>53145434</v>
      </c>
      <c r="O31" s="1357">
        <v>0.6</v>
      </c>
      <c r="P31" s="742" t="s">
        <v>2806</v>
      </c>
      <c r="Q31" s="1364" t="s">
        <v>1845</v>
      </c>
      <c r="R31" s="1362" t="s">
        <v>2831</v>
      </c>
      <c r="S31" s="1360" t="s">
        <v>2871</v>
      </c>
      <c r="T31" s="1360" t="s">
        <v>2872</v>
      </c>
      <c r="U31" s="1361"/>
    </row>
    <row r="32" spans="1:21" s="337" customFormat="1" ht="155.25" customHeight="1">
      <c r="A32" s="1344">
        <v>128</v>
      </c>
      <c r="B32" s="1345" t="s">
        <v>2873</v>
      </c>
      <c r="C32" s="1346" t="s">
        <v>177</v>
      </c>
      <c r="D32" s="1347">
        <v>20000000</v>
      </c>
      <c r="E32" s="1348" t="s">
        <v>2874</v>
      </c>
      <c r="F32" s="1349" t="s">
        <v>37</v>
      </c>
      <c r="G32" s="1350" t="s">
        <v>2875</v>
      </c>
      <c r="H32" s="1351">
        <v>17631633</v>
      </c>
      <c r="I32" s="1352" t="s">
        <v>2846</v>
      </c>
      <c r="J32" s="1353">
        <v>42263</v>
      </c>
      <c r="K32" s="1354" t="s">
        <v>2786</v>
      </c>
      <c r="L32" s="1354"/>
      <c r="M32" s="1355" t="s">
        <v>2857</v>
      </c>
      <c r="N32" s="1351">
        <v>17631633</v>
      </c>
      <c r="O32" s="1357">
        <v>0.2</v>
      </c>
      <c r="P32" s="1358" t="s">
        <v>2806</v>
      </c>
      <c r="Q32" s="1364" t="s">
        <v>1845</v>
      </c>
      <c r="R32" s="1344" t="s">
        <v>2876</v>
      </c>
      <c r="S32" s="1360"/>
      <c r="T32" s="1360"/>
      <c r="U32" s="1361"/>
    </row>
    <row r="33" spans="1:21" s="337" customFormat="1" ht="72">
      <c r="A33" s="1344">
        <v>97</v>
      </c>
      <c r="B33" s="1345" t="s">
        <v>2877</v>
      </c>
      <c r="C33" s="1346" t="s">
        <v>85</v>
      </c>
      <c r="D33" s="1347">
        <v>200000000</v>
      </c>
      <c r="E33" s="1348" t="s">
        <v>2808</v>
      </c>
      <c r="F33" s="1349" t="s">
        <v>37</v>
      </c>
      <c r="G33" s="1350" t="s">
        <v>2878</v>
      </c>
      <c r="H33" s="1351">
        <v>20767860</v>
      </c>
      <c r="I33" s="1352" t="s">
        <v>2795</v>
      </c>
      <c r="J33" s="1353">
        <v>42226</v>
      </c>
      <c r="K33" s="1354" t="s">
        <v>2786</v>
      </c>
      <c r="L33" s="1354"/>
      <c r="M33" s="1355" t="s">
        <v>2879</v>
      </c>
      <c r="N33" s="1351">
        <v>20767860</v>
      </c>
      <c r="O33" s="1357">
        <v>0.3</v>
      </c>
      <c r="P33" s="1358" t="s">
        <v>2806</v>
      </c>
      <c r="Q33" s="1364" t="s">
        <v>1845</v>
      </c>
      <c r="R33" s="1344" t="s">
        <v>2826</v>
      </c>
      <c r="S33" s="1360"/>
      <c r="T33" s="1360"/>
      <c r="U33" s="1361"/>
    </row>
    <row r="34" spans="1:21" s="337" customFormat="1" ht="63.75">
      <c r="A34" s="1344">
        <v>101</v>
      </c>
      <c r="B34" s="1345" t="s">
        <v>2877</v>
      </c>
      <c r="C34" s="1346" t="s">
        <v>85</v>
      </c>
      <c r="D34" s="1347">
        <v>200000000</v>
      </c>
      <c r="E34" s="1348" t="s">
        <v>2783</v>
      </c>
      <c r="F34" s="1349" t="s">
        <v>37</v>
      </c>
      <c r="G34" s="1350" t="s">
        <v>2880</v>
      </c>
      <c r="H34" s="1351">
        <v>20739635</v>
      </c>
      <c r="I34" s="1352" t="s">
        <v>2795</v>
      </c>
      <c r="J34" s="1353">
        <v>42226</v>
      </c>
      <c r="K34" s="1354" t="s">
        <v>2786</v>
      </c>
      <c r="L34" s="1354"/>
      <c r="M34" s="1355" t="s">
        <v>2787</v>
      </c>
      <c r="N34" s="1351">
        <v>20739635</v>
      </c>
      <c r="O34" s="1357">
        <v>0.3</v>
      </c>
      <c r="P34" s="1358" t="s">
        <v>2806</v>
      </c>
      <c r="Q34" s="1364" t="s">
        <v>1845</v>
      </c>
      <c r="R34" s="1344" t="s">
        <v>2828</v>
      </c>
      <c r="S34" s="1360"/>
      <c r="T34" s="1360"/>
      <c r="U34" s="1361"/>
    </row>
    <row r="35" spans="1:21" s="337" customFormat="1" ht="63.75">
      <c r="A35" s="1344">
        <v>108</v>
      </c>
      <c r="B35" s="1345" t="s">
        <v>2877</v>
      </c>
      <c r="C35" s="1346" t="s">
        <v>85</v>
      </c>
      <c r="D35" s="1347">
        <v>200000000</v>
      </c>
      <c r="E35" s="1348" t="s">
        <v>2822</v>
      </c>
      <c r="F35" s="1349" t="s">
        <v>37</v>
      </c>
      <c r="G35" s="1350" t="s">
        <v>2881</v>
      </c>
      <c r="H35" s="1351">
        <v>20724025</v>
      </c>
      <c r="I35" s="1352" t="s">
        <v>2795</v>
      </c>
      <c r="J35" s="1353">
        <v>42228</v>
      </c>
      <c r="K35" s="1354" t="s">
        <v>2786</v>
      </c>
      <c r="L35" s="1354"/>
      <c r="M35" s="1355" t="s">
        <v>2787</v>
      </c>
      <c r="N35" s="1351">
        <v>20724025</v>
      </c>
      <c r="O35" s="1357">
        <v>0.3</v>
      </c>
      <c r="P35" s="1358" t="s">
        <v>2806</v>
      </c>
      <c r="Q35" s="1364" t="s">
        <v>1845</v>
      </c>
      <c r="R35" s="1344" t="s">
        <v>2867</v>
      </c>
      <c r="S35" s="1360"/>
      <c r="T35" s="1360"/>
      <c r="U35" s="1361"/>
    </row>
    <row r="36" spans="1:21" s="337" customFormat="1" ht="72">
      <c r="A36" s="1344">
        <v>130</v>
      </c>
      <c r="B36" s="1345" t="s">
        <v>2877</v>
      </c>
      <c r="C36" s="1346" t="s">
        <v>85</v>
      </c>
      <c r="D36" s="1347">
        <v>200000000</v>
      </c>
      <c r="E36" s="1348" t="s">
        <v>2837</v>
      </c>
      <c r="F36" s="1349" t="s">
        <v>37</v>
      </c>
      <c r="G36" s="1350" t="s">
        <v>2882</v>
      </c>
      <c r="H36" s="1351">
        <v>20401468</v>
      </c>
      <c r="I36" s="1352" t="s">
        <v>2846</v>
      </c>
      <c r="J36" s="1353">
        <v>42274</v>
      </c>
      <c r="K36" s="1354" t="s">
        <v>2786</v>
      </c>
      <c r="L36" s="1354"/>
      <c r="M36" s="1355" t="s">
        <v>2787</v>
      </c>
      <c r="N36" s="1351">
        <v>20401468</v>
      </c>
      <c r="O36" s="1357">
        <v>0.2</v>
      </c>
      <c r="P36" s="1358" t="s">
        <v>2806</v>
      </c>
      <c r="Q36" s="1364" t="s">
        <v>1845</v>
      </c>
      <c r="R36" s="1344" t="s">
        <v>2807</v>
      </c>
      <c r="S36" s="1360"/>
      <c r="T36" s="1360"/>
      <c r="U36" s="1361"/>
    </row>
    <row r="37" spans="1:21" s="337" customFormat="1" ht="72">
      <c r="A37" s="1344">
        <v>98</v>
      </c>
      <c r="B37" s="1345" t="s">
        <v>2877</v>
      </c>
      <c r="C37" s="1346" t="s">
        <v>85</v>
      </c>
      <c r="D37" s="1347">
        <v>200000000</v>
      </c>
      <c r="E37" s="1348" t="s">
        <v>2819</v>
      </c>
      <c r="F37" s="1349" t="s">
        <v>37</v>
      </c>
      <c r="G37" s="1350" t="s">
        <v>2883</v>
      </c>
      <c r="H37" s="1351">
        <v>17078118</v>
      </c>
      <c r="I37" s="1352" t="s">
        <v>2795</v>
      </c>
      <c r="J37" s="1353">
        <v>42226</v>
      </c>
      <c r="K37" s="1354" t="s">
        <v>2786</v>
      </c>
      <c r="L37" s="1354"/>
      <c r="M37" s="1355" t="s">
        <v>2787</v>
      </c>
      <c r="N37" s="1351">
        <v>17078118</v>
      </c>
      <c r="O37" s="1357">
        <v>0.3</v>
      </c>
      <c r="P37" s="1358" t="s">
        <v>2806</v>
      </c>
      <c r="Q37" s="1364" t="s">
        <v>1845</v>
      </c>
      <c r="R37" s="1344" t="s">
        <v>2826</v>
      </c>
      <c r="S37" s="1360"/>
      <c r="T37" s="1360"/>
      <c r="U37" s="1361"/>
    </row>
    <row r="38" spans="1:21" ht="21" customHeight="1">
      <c r="A38" s="1344">
        <v>100</v>
      </c>
      <c r="B38" s="1345" t="s">
        <v>2877</v>
      </c>
      <c r="C38" s="1346" t="s">
        <v>85</v>
      </c>
      <c r="D38" s="1347">
        <v>200000000</v>
      </c>
      <c r="E38" s="1348" t="s">
        <v>2810</v>
      </c>
      <c r="F38" s="1349" t="s">
        <v>37</v>
      </c>
      <c r="G38" s="1350" t="s">
        <v>2884</v>
      </c>
      <c r="H38" s="1351">
        <v>16840694</v>
      </c>
      <c r="I38" s="1352" t="s">
        <v>2795</v>
      </c>
      <c r="J38" s="1353">
        <v>42226</v>
      </c>
      <c r="K38" s="1354" t="s">
        <v>2786</v>
      </c>
      <c r="L38" s="1354"/>
      <c r="M38" s="1355" t="s">
        <v>2787</v>
      </c>
      <c r="N38" s="1351">
        <v>16840694</v>
      </c>
      <c r="O38" s="1357">
        <v>0.3</v>
      </c>
      <c r="P38" s="1358" t="s">
        <v>2806</v>
      </c>
      <c r="Q38" s="1364" t="s">
        <v>1845</v>
      </c>
      <c r="R38" s="1344" t="s">
        <v>2828</v>
      </c>
      <c r="S38" s="1360"/>
      <c r="T38" s="1360"/>
      <c r="U38" s="1361"/>
    </row>
    <row r="39" spans="1:21" ht="29.25" customHeight="1">
      <c r="A39" s="1344">
        <v>120</v>
      </c>
      <c r="B39" s="1345" t="s">
        <v>2877</v>
      </c>
      <c r="C39" s="1346" t="s">
        <v>85</v>
      </c>
      <c r="D39" s="1347">
        <v>200000000</v>
      </c>
      <c r="E39" s="1348" t="s">
        <v>2783</v>
      </c>
      <c r="F39" s="1349" t="s">
        <v>37</v>
      </c>
      <c r="G39" s="1350" t="s">
        <v>2885</v>
      </c>
      <c r="H39" s="1351">
        <v>14766179</v>
      </c>
      <c r="I39" s="1352" t="s">
        <v>2785</v>
      </c>
      <c r="J39" s="1353">
        <v>42254</v>
      </c>
      <c r="K39" s="1354" t="s">
        <v>2786</v>
      </c>
      <c r="L39" s="1354"/>
      <c r="M39" s="1355" t="s">
        <v>2803</v>
      </c>
      <c r="N39" s="1351">
        <v>14766179</v>
      </c>
      <c r="O39" s="1357">
        <v>0.3</v>
      </c>
      <c r="P39" s="1358" t="s">
        <v>2806</v>
      </c>
      <c r="Q39" s="1364" t="s">
        <v>1845</v>
      </c>
      <c r="R39" s="1344" t="s">
        <v>2876</v>
      </c>
      <c r="S39" s="1360"/>
      <c r="T39" s="1360"/>
      <c r="U39" s="1361"/>
    </row>
    <row r="40" spans="1:21" ht="29.25" customHeight="1">
      <c r="A40" s="1344">
        <v>131</v>
      </c>
      <c r="B40" s="1345" t="s">
        <v>2877</v>
      </c>
      <c r="C40" s="1346" t="s">
        <v>85</v>
      </c>
      <c r="D40" s="1347">
        <v>200000000</v>
      </c>
      <c r="E40" s="1348" t="s">
        <v>2810</v>
      </c>
      <c r="F40" s="1349" t="s">
        <v>37</v>
      </c>
      <c r="G40" s="1350" t="s">
        <v>2886</v>
      </c>
      <c r="H40" s="1351">
        <v>10000000</v>
      </c>
      <c r="I40" s="1352" t="s">
        <v>2846</v>
      </c>
      <c r="J40" s="1353">
        <v>42274</v>
      </c>
      <c r="K40" s="1354" t="s">
        <v>2786</v>
      </c>
      <c r="L40" s="1354"/>
      <c r="M40" s="1355" t="s">
        <v>2803</v>
      </c>
      <c r="N40" s="1351">
        <v>10000000</v>
      </c>
      <c r="O40" s="1357">
        <v>0.3</v>
      </c>
      <c r="P40" s="1358" t="s">
        <v>2806</v>
      </c>
      <c r="Q40" s="1364" t="s">
        <v>1845</v>
      </c>
      <c r="R40" s="1344" t="s">
        <v>2876</v>
      </c>
      <c r="S40" s="1360"/>
      <c r="T40" s="1360"/>
      <c r="U40" s="1361"/>
    </row>
    <row r="41" spans="1:21" ht="29.25" customHeight="1">
      <c r="A41" s="1344">
        <v>99</v>
      </c>
      <c r="B41" s="1345" t="s">
        <v>2877</v>
      </c>
      <c r="C41" s="1346" t="s">
        <v>85</v>
      </c>
      <c r="D41" s="1347">
        <v>200000000</v>
      </c>
      <c r="E41" s="1348" t="s">
        <v>2819</v>
      </c>
      <c r="F41" s="1349" t="s">
        <v>37</v>
      </c>
      <c r="G41" s="1350" t="s">
        <v>2887</v>
      </c>
      <c r="H41" s="1351">
        <v>5491277</v>
      </c>
      <c r="I41" s="1352" t="s">
        <v>2795</v>
      </c>
      <c r="J41" s="1353">
        <v>42226</v>
      </c>
      <c r="K41" s="1354" t="s">
        <v>2786</v>
      </c>
      <c r="L41" s="1354"/>
      <c r="M41" s="1355" t="s">
        <v>2803</v>
      </c>
      <c r="N41" s="1351">
        <v>5491277</v>
      </c>
      <c r="O41" s="1357">
        <v>0.3</v>
      </c>
      <c r="P41" s="1358" t="s">
        <v>2806</v>
      </c>
      <c r="Q41" s="1364" t="s">
        <v>1845</v>
      </c>
      <c r="R41" s="1344" t="s">
        <v>2888</v>
      </c>
      <c r="S41" s="1360"/>
      <c r="T41" s="1360"/>
      <c r="U41" s="1361"/>
    </row>
    <row r="42" spans="1:21" ht="62.25" customHeight="1">
      <c r="A42" s="1344">
        <v>95</v>
      </c>
      <c r="B42" s="1345" t="s">
        <v>2889</v>
      </c>
      <c r="C42" s="1346" t="s">
        <v>2890</v>
      </c>
      <c r="D42" s="1347">
        <v>112000000</v>
      </c>
      <c r="E42" s="1348" t="s">
        <v>2822</v>
      </c>
      <c r="F42" s="1349" t="s">
        <v>37</v>
      </c>
      <c r="G42" s="1350" t="s">
        <v>2891</v>
      </c>
      <c r="H42" s="1370" t="s">
        <v>2892</v>
      </c>
      <c r="I42" s="1352" t="s">
        <v>2795</v>
      </c>
      <c r="J42" s="1371" t="s">
        <v>1005</v>
      </c>
      <c r="K42" s="1355" t="s">
        <v>2786</v>
      </c>
      <c r="L42" s="1355"/>
      <c r="M42" s="1355" t="s">
        <v>2786</v>
      </c>
      <c r="N42" s="1326" t="s">
        <v>2892</v>
      </c>
      <c r="O42" s="918" t="s">
        <v>2786</v>
      </c>
      <c r="P42" s="1358" t="s">
        <v>2806</v>
      </c>
      <c r="Q42" s="1364" t="s">
        <v>1845</v>
      </c>
      <c r="R42" s="1334" t="s">
        <v>2892</v>
      </c>
      <c r="S42" s="1334" t="s">
        <v>2892</v>
      </c>
      <c r="T42" s="1334" t="s">
        <v>2892</v>
      </c>
      <c r="U42" s="1372" t="s">
        <v>2892</v>
      </c>
    </row>
    <row r="43" spans="1:21" ht="96">
      <c r="A43" s="1344">
        <v>111</v>
      </c>
      <c r="B43" s="1345" t="s">
        <v>2889</v>
      </c>
      <c r="C43" s="1346" t="s">
        <v>2890</v>
      </c>
      <c r="D43" s="1347">
        <v>112000000</v>
      </c>
      <c r="E43" s="1348" t="s">
        <v>2893</v>
      </c>
      <c r="F43" s="1349" t="s">
        <v>37</v>
      </c>
      <c r="G43" s="1363" t="s">
        <v>2894</v>
      </c>
      <c r="H43" s="1351">
        <v>44023392</v>
      </c>
      <c r="I43" s="1352" t="s">
        <v>2795</v>
      </c>
      <c r="J43" s="1353">
        <v>42240</v>
      </c>
      <c r="K43" s="1354" t="s">
        <v>2786</v>
      </c>
      <c r="L43" s="1354"/>
      <c r="M43" s="1355" t="s">
        <v>2895</v>
      </c>
      <c r="N43" s="1351">
        <v>44023392</v>
      </c>
      <c r="O43" s="1357">
        <v>0.3</v>
      </c>
      <c r="P43" s="1358" t="s">
        <v>2806</v>
      </c>
      <c r="Q43" s="1364" t="s">
        <v>1845</v>
      </c>
      <c r="R43" s="1344" t="s">
        <v>2867</v>
      </c>
      <c r="S43" s="1360"/>
      <c r="T43" s="1360"/>
      <c r="U43" s="1361"/>
    </row>
    <row r="44" spans="1:21" ht="21" customHeight="1">
      <c r="A44" s="1344">
        <v>16</v>
      </c>
      <c r="B44" s="1345" t="s">
        <v>2896</v>
      </c>
      <c r="C44" s="1346" t="s">
        <v>387</v>
      </c>
      <c r="D44" s="1347">
        <v>60000000</v>
      </c>
      <c r="E44" s="1348" t="s">
        <v>105</v>
      </c>
      <c r="F44" s="1349" t="s">
        <v>37</v>
      </c>
      <c r="G44" s="1350" t="s">
        <v>2897</v>
      </c>
      <c r="H44" s="1351">
        <v>58761110</v>
      </c>
      <c r="I44" s="1352" t="s">
        <v>2794</v>
      </c>
      <c r="J44" s="1353">
        <v>42124</v>
      </c>
      <c r="K44" s="1354" t="s">
        <v>2786</v>
      </c>
      <c r="L44" s="1354"/>
      <c r="M44" s="1355" t="s">
        <v>2846</v>
      </c>
      <c r="N44" s="1356">
        <f t="shared" ref="N44:N87" si="0">H44</f>
        <v>58761110</v>
      </c>
      <c r="O44" s="1357">
        <v>0.8</v>
      </c>
      <c r="P44" s="742" t="s">
        <v>2788</v>
      </c>
      <c r="Q44" s="1359" t="s">
        <v>2789</v>
      </c>
      <c r="R44" s="1362" t="s">
        <v>2847</v>
      </c>
      <c r="S44" s="1360"/>
      <c r="T44" s="1360"/>
      <c r="U44" s="1361"/>
    </row>
    <row r="45" spans="1:21" ht="60">
      <c r="A45" s="1344">
        <v>58</v>
      </c>
      <c r="B45" s="1345" t="s">
        <v>2898</v>
      </c>
      <c r="C45" s="1346" t="s">
        <v>2899</v>
      </c>
      <c r="D45" s="1347">
        <v>21894042</v>
      </c>
      <c r="E45" s="1348" t="s">
        <v>105</v>
      </c>
      <c r="F45" s="1349" t="s">
        <v>37</v>
      </c>
      <c r="G45" s="1363" t="s">
        <v>2900</v>
      </c>
      <c r="H45" s="1351">
        <v>21562144</v>
      </c>
      <c r="I45" s="1352" t="s">
        <v>2802</v>
      </c>
      <c r="J45" s="1353">
        <v>42192</v>
      </c>
      <c r="K45" s="1354" t="s">
        <v>2786</v>
      </c>
      <c r="L45" s="1354"/>
      <c r="M45" s="1355" t="s">
        <v>2803</v>
      </c>
      <c r="N45" s="1356">
        <f t="shared" si="0"/>
        <v>21562144</v>
      </c>
      <c r="O45" s="1357">
        <v>1</v>
      </c>
      <c r="P45" s="1358" t="s">
        <v>2901</v>
      </c>
      <c r="Q45" s="1373" t="s">
        <v>2902</v>
      </c>
      <c r="R45" s="1344" t="s">
        <v>2876</v>
      </c>
      <c r="S45" s="1366">
        <v>42226</v>
      </c>
      <c r="T45" s="1366" t="s">
        <v>2903</v>
      </c>
      <c r="U45" s="1361" t="s">
        <v>2904</v>
      </c>
    </row>
    <row r="46" spans="1:21" ht="120">
      <c r="A46" s="1344">
        <v>109</v>
      </c>
      <c r="B46" s="1345" t="s">
        <v>2905</v>
      </c>
      <c r="C46" s="1346" t="s">
        <v>94</v>
      </c>
      <c r="D46" s="1347">
        <v>10000000</v>
      </c>
      <c r="E46" s="1348" t="s">
        <v>105</v>
      </c>
      <c r="F46" s="1349" t="s">
        <v>37</v>
      </c>
      <c r="G46" s="1363" t="s">
        <v>2906</v>
      </c>
      <c r="H46" s="1351">
        <v>9956694</v>
      </c>
      <c r="I46" s="1352" t="s">
        <v>2795</v>
      </c>
      <c r="J46" s="1353">
        <v>42249</v>
      </c>
      <c r="K46" s="1354" t="s">
        <v>2786</v>
      </c>
      <c r="L46" s="1354"/>
      <c r="M46" s="1355" t="s">
        <v>2803</v>
      </c>
      <c r="N46" s="1356">
        <f t="shared" si="0"/>
        <v>9956694</v>
      </c>
      <c r="O46" s="1357">
        <v>0.8</v>
      </c>
      <c r="P46" s="1358" t="s">
        <v>2901</v>
      </c>
      <c r="Q46" s="1373" t="s">
        <v>2902</v>
      </c>
      <c r="R46" s="1344" t="s">
        <v>2844</v>
      </c>
      <c r="S46" s="1360"/>
      <c r="T46" s="1360"/>
      <c r="U46" s="1361"/>
    </row>
    <row r="47" spans="1:21" ht="60">
      <c r="A47" s="1344">
        <v>75</v>
      </c>
      <c r="B47" s="1345" t="s">
        <v>2907</v>
      </c>
      <c r="C47" s="1346" t="s">
        <v>208</v>
      </c>
      <c r="D47" s="1347">
        <v>15000000</v>
      </c>
      <c r="E47" s="1348" t="s">
        <v>2792</v>
      </c>
      <c r="F47" s="1349" t="s">
        <v>37</v>
      </c>
      <c r="G47" s="1350" t="s">
        <v>2908</v>
      </c>
      <c r="H47" s="1351">
        <v>14543541</v>
      </c>
      <c r="I47" s="1352" t="s">
        <v>2802</v>
      </c>
      <c r="J47" s="1353">
        <v>42209</v>
      </c>
      <c r="K47" s="1354" t="s">
        <v>2786</v>
      </c>
      <c r="L47" s="1354"/>
      <c r="M47" s="1355" t="s">
        <v>2803</v>
      </c>
      <c r="N47" s="1356">
        <f t="shared" si="0"/>
        <v>14543541</v>
      </c>
      <c r="O47" s="1357">
        <v>1</v>
      </c>
      <c r="P47" s="1358" t="s">
        <v>2901</v>
      </c>
      <c r="Q47" s="1373" t="s">
        <v>2902</v>
      </c>
      <c r="R47" s="1344" t="s">
        <v>2847</v>
      </c>
      <c r="S47" s="1366">
        <v>42244</v>
      </c>
      <c r="T47" s="1366" t="s">
        <v>2909</v>
      </c>
      <c r="U47" s="1361"/>
    </row>
    <row r="48" spans="1:21" ht="89.25">
      <c r="A48" s="1344">
        <v>15</v>
      </c>
      <c r="B48" s="1345" t="s">
        <v>2910</v>
      </c>
      <c r="C48" s="1346" t="s">
        <v>155</v>
      </c>
      <c r="D48" s="1347">
        <v>200000000</v>
      </c>
      <c r="E48" s="1348" t="s">
        <v>105</v>
      </c>
      <c r="F48" s="1349" t="s">
        <v>37</v>
      </c>
      <c r="G48" s="1350" t="s">
        <v>2911</v>
      </c>
      <c r="H48" s="1347">
        <v>64425555</v>
      </c>
      <c r="I48" s="1352" t="s">
        <v>2794</v>
      </c>
      <c r="J48" s="1353">
        <v>42117</v>
      </c>
      <c r="K48" s="1354" t="s">
        <v>2786</v>
      </c>
      <c r="L48" s="1354"/>
      <c r="M48" s="1355" t="s">
        <v>2857</v>
      </c>
      <c r="N48" s="1356">
        <f t="shared" si="0"/>
        <v>64425555</v>
      </c>
      <c r="O48" s="1357">
        <v>0.4</v>
      </c>
      <c r="P48" s="742" t="s">
        <v>2788</v>
      </c>
      <c r="Q48" s="1359" t="s">
        <v>2789</v>
      </c>
      <c r="R48" s="1374" t="s">
        <v>2912</v>
      </c>
      <c r="S48" s="1369" t="s">
        <v>2913</v>
      </c>
      <c r="T48" s="1369" t="s">
        <v>2914</v>
      </c>
      <c r="U48" s="1375"/>
    </row>
    <row r="49" spans="1:21" ht="26.25" customHeight="1">
      <c r="A49" s="1344">
        <v>61</v>
      </c>
      <c r="B49" s="1345" t="s">
        <v>2910</v>
      </c>
      <c r="C49" s="1346" t="s">
        <v>155</v>
      </c>
      <c r="D49" s="1347">
        <v>200000000</v>
      </c>
      <c r="E49" s="1348" t="s">
        <v>105</v>
      </c>
      <c r="F49" s="1349" t="s">
        <v>37</v>
      </c>
      <c r="G49" s="1363" t="s">
        <v>2915</v>
      </c>
      <c r="H49" s="1351">
        <v>64288128</v>
      </c>
      <c r="I49" s="1352" t="s">
        <v>2802</v>
      </c>
      <c r="J49" s="1353">
        <v>42191</v>
      </c>
      <c r="K49" s="1354" t="s">
        <v>2786</v>
      </c>
      <c r="L49" s="1354"/>
      <c r="M49" s="1355" t="s">
        <v>2787</v>
      </c>
      <c r="N49" s="1356">
        <f t="shared" si="0"/>
        <v>64288128</v>
      </c>
      <c r="O49" s="1357">
        <v>0.9</v>
      </c>
      <c r="P49" s="1358" t="s">
        <v>2788</v>
      </c>
      <c r="Q49" s="1359" t="s">
        <v>2789</v>
      </c>
      <c r="R49" s="1376" t="s">
        <v>2831</v>
      </c>
      <c r="S49" s="1369"/>
      <c r="T49" s="1369"/>
      <c r="U49" s="1375"/>
    </row>
    <row r="50" spans="1:21" ht="144">
      <c r="A50" s="1344">
        <v>6</v>
      </c>
      <c r="B50" s="1345" t="s">
        <v>2910</v>
      </c>
      <c r="C50" s="1346" t="s">
        <v>155</v>
      </c>
      <c r="D50" s="1347">
        <v>200000000</v>
      </c>
      <c r="E50" s="1348" t="s">
        <v>2916</v>
      </c>
      <c r="F50" s="1349" t="s">
        <v>37</v>
      </c>
      <c r="G50" s="1350" t="s">
        <v>2917</v>
      </c>
      <c r="H50" s="1347">
        <v>64271124</v>
      </c>
      <c r="I50" s="1352" t="s">
        <v>2866</v>
      </c>
      <c r="J50" s="1353">
        <v>42101</v>
      </c>
      <c r="K50" s="1354" t="s">
        <v>2786</v>
      </c>
      <c r="L50" s="1354"/>
      <c r="M50" s="1355" t="s">
        <v>2787</v>
      </c>
      <c r="N50" s="1356">
        <f t="shared" si="0"/>
        <v>64271124</v>
      </c>
      <c r="O50" s="1357">
        <v>0.7</v>
      </c>
      <c r="P50" s="742" t="s">
        <v>2788</v>
      </c>
      <c r="Q50" s="1359" t="s">
        <v>2789</v>
      </c>
      <c r="R50" s="1374" t="s">
        <v>2918</v>
      </c>
      <c r="S50" s="1369" t="s">
        <v>2919</v>
      </c>
      <c r="T50" s="1369" t="s">
        <v>2920</v>
      </c>
      <c r="U50" s="1375"/>
    </row>
    <row r="51" spans="1:21" ht="48">
      <c r="A51" s="1344">
        <v>115</v>
      </c>
      <c r="B51" s="1345" t="s">
        <v>2910</v>
      </c>
      <c r="C51" s="1346" t="s">
        <v>155</v>
      </c>
      <c r="D51" s="1347">
        <v>200000000</v>
      </c>
      <c r="E51" s="1348" t="s">
        <v>105</v>
      </c>
      <c r="F51" s="1349" t="s">
        <v>37</v>
      </c>
      <c r="G51" s="1363" t="s">
        <v>2921</v>
      </c>
      <c r="H51" s="1351">
        <v>6754912</v>
      </c>
      <c r="I51" s="1352" t="s">
        <v>2785</v>
      </c>
      <c r="J51" s="1353">
        <v>42250</v>
      </c>
      <c r="K51" s="1354" t="s">
        <v>2786</v>
      </c>
      <c r="L51" s="1354"/>
      <c r="M51" s="1355" t="s">
        <v>2787</v>
      </c>
      <c r="N51" s="1356">
        <f t="shared" si="0"/>
        <v>6754912</v>
      </c>
      <c r="O51" s="1357">
        <v>0.6</v>
      </c>
      <c r="P51" s="1358" t="s">
        <v>2788</v>
      </c>
      <c r="Q51" s="1359" t="s">
        <v>2789</v>
      </c>
      <c r="R51" s="1344" t="s">
        <v>2790</v>
      </c>
      <c r="S51" s="1360"/>
      <c r="T51" s="1360"/>
      <c r="U51" s="1361"/>
    </row>
    <row r="52" spans="1:21" ht="84">
      <c r="A52" s="1344">
        <v>63</v>
      </c>
      <c r="B52" s="1345" t="s">
        <v>2922</v>
      </c>
      <c r="C52" s="1346" t="s">
        <v>156</v>
      </c>
      <c r="D52" s="1347">
        <v>50000000</v>
      </c>
      <c r="E52" s="1348" t="s">
        <v>105</v>
      </c>
      <c r="F52" s="1349" t="s">
        <v>37</v>
      </c>
      <c r="G52" s="1363" t="s">
        <v>2923</v>
      </c>
      <c r="H52" s="1351">
        <v>49997666</v>
      </c>
      <c r="I52" s="1352" t="s">
        <v>2802</v>
      </c>
      <c r="J52" s="1353">
        <v>42192</v>
      </c>
      <c r="K52" s="1354" t="s">
        <v>2786</v>
      </c>
      <c r="L52" s="1354"/>
      <c r="M52" s="1355" t="s">
        <v>2785</v>
      </c>
      <c r="N52" s="1356">
        <f t="shared" si="0"/>
        <v>49997666</v>
      </c>
      <c r="O52" s="1357">
        <v>1</v>
      </c>
      <c r="P52" s="1358" t="s">
        <v>2788</v>
      </c>
      <c r="Q52" s="1359" t="s">
        <v>2789</v>
      </c>
      <c r="R52" s="1344" t="s">
        <v>2876</v>
      </c>
      <c r="S52" s="1366">
        <v>42240</v>
      </c>
      <c r="T52" s="1366" t="s">
        <v>2924</v>
      </c>
      <c r="U52" s="1361" t="s">
        <v>2904</v>
      </c>
    </row>
    <row r="53" spans="1:21" ht="84">
      <c r="A53" s="1344">
        <v>45</v>
      </c>
      <c r="B53" s="1345" t="s">
        <v>2925</v>
      </c>
      <c r="C53" s="1346" t="s">
        <v>159</v>
      </c>
      <c r="D53" s="1347">
        <v>204000000</v>
      </c>
      <c r="E53" s="1348" t="s">
        <v>105</v>
      </c>
      <c r="F53" s="1349" t="s">
        <v>37</v>
      </c>
      <c r="G53" s="1363" t="s">
        <v>2926</v>
      </c>
      <c r="H53" s="1351">
        <v>64415955</v>
      </c>
      <c r="I53" s="1352" t="s">
        <v>2830</v>
      </c>
      <c r="J53" s="1353">
        <v>42159</v>
      </c>
      <c r="K53" s="1354" t="s">
        <v>2786</v>
      </c>
      <c r="L53" s="1354"/>
      <c r="M53" s="1355" t="s">
        <v>2785</v>
      </c>
      <c r="N53" s="1356">
        <f t="shared" si="0"/>
        <v>64415955</v>
      </c>
      <c r="O53" s="1357">
        <v>0.6</v>
      </c>
      <c r="P53" s="1327" t="s">
        <v>2788</v>
      </c>
      <c r="Q53" s="1359" t="s">
        <v>2789</v>
      </c>
      <c r="R53" s="1344" t="s">
        <v>2927</v>
      </c>
      <c r="S53" s="1360"/>
      <c r="T53" s="1360"/>
      <c r="U53" s="1361"/>
    </row>
    <row r="54" spans="1:21" ht="26.25" customHeight="1">
      <c r="A54" s="1344">
        <v>72</v>
      </c>
      <c r="B54" s="1345" t="s">
        <v>2925</v>
      </c>
      <c r="C54" s="1346" t="s">
        <v>159</v>
      </c>
      <c r="D54" s="1347">
        <v>204000000</v>
      </c>
      <c r="E54" s="1348" t="s">
        <v>2792</v>
      </c>
      <c r="F54" s="1349" t="s">
        <v>37</v>
      </c>
      <c r="G54" s="1350" t="s">
        <v>2928</v>
      </c>
      <c r="H54" s="1351">
        <v>63996968</v>
      </c>
      <c r="I54" s="1352" t="s">
        <v>2802</v>
      </c>
      <c r="J54" s="1353">
        <v>42199</v>
      </c>
      <c r="K54" s="1354" t="s">
        <v>2786</v>
      </c>
      <c r="L54" s="1354"/>
      <c r="M54" s="1355" t="s">
        <v>2785</v>
      </c>
      <c r="N54" s="1356">
        <f t="shared" si="0"/>
        <v>63996968</v>
      </c>
      <c r="O54" s="1357">
        <v>1</v>
      </c>
      <c r="P54" s="1358" t="s">
        <v>2788</v>
      </c>
      <c r="Q54" s="1359" t="s">
        <v>2789</v>
      </c>
      <c r="R54" s="1344" t="s">
        <v>2790</v>
      </c>
      <c r="S54" s="1366">
        <v>42242</v>
      </c>
      <c r="T54" s="1366" t="s">
        <v>2929</v>
      </c>
      <c r="U54" s="1361" t="s">
        <v>2904</v>
      </c>
    </row>
    <row r="55" spans="1:21" ht="48">
      <c r="A55" s="1344">
        <v>73</v>
      </c>
      <c r="B55" s="1345" t="s">
        <v>2930</v>
      </c>
      <c r="C55" s="1346" t="s">
        <v>148</v>
      </c>
      <c r="D55" s="1347">
        <v>128872427</v>
      </c>
      <c r="E55" s="1348" t="s">
        <v>2931</v>
      </c>
      <c r="F55" s="1349" t="s">
        <v>37</v>
      </c>
      <c r="G55" s="1350" t="s">
        <v>2932</v>
      </c>
      <c r="H55" s="1351">
        <v>64404592</v>
      </c>
      <c r="I55" s="1352" t="s">
        <v>2802</v>
      </c>
      <c r="J55" s="1353">
        <v>42201</v>
      </c>
      <c r="K55" s="1354" t="s">
        <v>2786</v>
      </c>
      <c r="L55" s="1354"/>
      <c r="M55" s="1355" t="s">
        <v>2846</v>
      </c>
      <c r="N55" s="1356">
        <f t="shared" si="0"/>
        <v>64404592</v>
      </c>
      <c r="O55" s="1357">
        <v>1</v>
      </c>
      <c r="P55" s="1358" t="s">
        <v>2788</v>
      </c>
      <c r="Q55" s="1359" t="s">
        <v>2789</v>
      </c>
      <c r="R55" s="1344" t="s">
        <v>2790</v>
      </c>
      <c r="S55" s="1366">
        <v>42247</v>
      </c>
      <c r="T55" s="1366" t="s">
        <v>2933</v>
      </c>
      <c r="U55" s="1361"/>
    </row>
    <row r="56" spans="1:21" ht="48">
      <c r="A56" s="1344">
        <v>78</v>
      </c>
      <c r="B56" s="1345" t="s">
        <v>2930</v>
      </c>
      <c r="C56" s="1346" t="s">
        <v>148</v>
      </c>
      <c r="D56" s="1347">
        <v>128872427</v>
      </c>
      <c r="E56" s="1348" t="s">
        <v>2792</v>
      </c>
      <c r="F56" s="1349" t="s">
        <v>37</v>
      </c>
      <c r="G56" s="1350" t="s">
        <v>2934</v>
      </c>
      <c r="H56" s="1351">
        <v>64381299</v>
      </c>
      <c r="I56" s="1352" t="s">
        <v>2795</v>
      </c>
      <c r="J56" s="1353">
        <v>42212</v>
      </c>
      <c r="K56" s="1354" t="s">
        <v>2786</v>
      </c>
      <c r="L56" s="1354"/>
      <c r="M56" s="1355" t="s">
        <v>2803</v>
      </c>
      <c r="N56" s="1356">
        <f t="shared" si="0"/>
        <v>64381299</v>
      </c>
      <c r="O56" s="1357">
        <v>0.9</v>
      </c>
      <c r="P56" s="1327" t="s">
        <v>2788</v>
      </c>
      <c r="Q56" s="1359" t="s">
        <v>2789</v>
      </c>
      <c r="R56" s="1344" t="s">
        <v>2790</v>
      </c>
      <c r="S56" s="1360"/>
      <c r="T56" s="1360"/>
      <c r="U56" s="1361"/>
    </row>
    <row r="57" spans="1:21" ht="48">
      <c r="A57" s="1344">
        <v>71</v>
      </c>
      <c r="B57" s="1345" t="s">
        <v>2935</v>
      </c>
      <c r="C57" s="1346" t="s">
        <v>463</v>
      </c>
      <c r="D57" s="1347">
        <v>115000000</v>
      </c>
      <c r="E57" s="1348" t="s">
        <v>2931</v>
      </c>
      <c r="F57" s="1349" t="s">
        <v>37</v>
      </c>
      <c r="G57" s="1350" t="s">
        <v>2936</v>
      </c>
      <c r="H57" s="1351">
        <v>60833805</v>
      </c>
      <c r="I57" s="1352" t="s">
        <v>2802</v>
      </c>
      <c r="J57" s="1353">
        <v>42195</v>
      </c>
      <c r="K57" s="1354" t="s">
        <v>2786</v>
      </c>
      <c r="L57" s="1354"/>
      <c r="M57" s="1355" t="s">
        <v>2846</v>
      </c>
      <c r="N57" s="1356">
        <f t="shared" si="0"/>
        <v>60833805</v>
      </c>
      <c r="O57" s="1357">
        <v>1</v>
      </c>
      <c r="P57" s="1358" t="s">
        <v>2788</v>
      </c>
      <c r="Q57" s="1359" t="s">
        <v>2789</v>
      </c>
      <c r="R57" s="1344" t="s">
        <v>2790</v>
      </c>
      <c r="S57" s="1366">
        <v>42255</v>
      </c>
      <c r="T57" s="1366" t="s">
        <v>2937</v>
      </c>
      <c r="U57" s="1361"/>
    </row>
    <row r="58" spans="1:21" ht="72">
      <c r="A58" s="1344">
        <v>60</v>
      </c>
      <c r="B58" s="1345" t="s">
        <v>2935</v>
      </c>
      <c r="C58" s="1346" t="s">
        <v>463</v>
      </c>
      <c r="D58" s="1347">
        <v>115000000</v>
      </c>
      <c r="E58" s="1348" t="s">
        <v>2938</v>
      </c>
      <c r="F58" s="1349" t="s">
        <v>37</v>
      </c>
      <c r="G58" s="1350" t="s">
        <v>2939</v>
      </c>
      <c r="H58" s="1351">
        <v>59297195</v>
      </c>
      <c r="I58" s="1352" t="s">
        <v>2802</v>
      </c>
      <c r="J58" s="1353">
        <v>42192</v>
      </c>
      <c r="K58" s="1354" t="s">
        <v>2786</v>
      </c>
      <c r="L58" s="1354"/>
      <c r="M58" s="1355" t="s">
        <v>2846</v>
      </c>
      <c r="N58" s="1356">
        <f t="shared" si="0"/>
        <v>59297195</v>
      </c>
      <c r="O58" s="1357">
        <v>1</v>
      </c>
      <c r="P58" s="1358" t="s">
        <v>2788</v>
      </c>
      <c r="Q58" s="1359" t="s">
        <v>2789</v>
      </c>
      <c r="R58" s="1344" t="s">
        <v>2790</v>
      </c>
      <c r="S58" s="1366">
        <v>42265</v>
      </c>
      <c r="T58" s="1366" t="s">
        <v>2940</v>
      </c>
      <c r="U58" s="1372" t="s">
        <v>2904</v>
      </c>
    </row>
    <row r="59" spans="1:21" ht="48">
      <c r="A59" s="1344">
        <v>74</v>
      </c>
      <c r="B59" s="1345" t="s">
        <v>2935</v>
      </c>
      <c r="C59" s="1346" t="s">
        <v>463</v>
      </c>
      <c r="D59" s="1347">
        <v>115000000</v>
      </c>
      <c r="E59" s="1348" t="s">
        <v>2893</v>
      </c>
      <c r="F59" s="1349" t="s">
        <v>37</v>
      </c>
      <c r="G59" s="1363" t="s">
        <v>2941</v>
      </c>
      <c r="H59" s="1351">
        <v>53107584</v>
      </c>
      <c r="I59" s="1352" t="s">
        <v>2802</v>
      </c>
      <c r="J59" s="1353">
        <v>42201</v>
      </c>
      <c r="K59" s="1354" t="s">
        <v>2786</v>
      </c>
      <c r="L59" s="1354"/>
      <c r="M59" s="1355" t="s">
        <v>2803</v>
      </c>
      <c r="N59" s="1356">
        <f t="shared" si="0"/>
        <v>53107584</v>
      </c>
      <c r="O59" s="1357">
        <v>1</v>
      </c>
      <c r="P59" s="1358" t="s">
        <v>2788</v>
      </c>
      <c r="Q59" s="1359" t="s">
        <v>2789</v>
      </c>
      <c r="R59" s="1344" t="s">
        <v>2790</v>
      </c>
      <c r="S59" s="1360"/>
      <c r="T59" s="1360"/>
      <c r="U59" s="1361"/>
    </row>
    <row r="60" spans="1:21" ht="26.25" customHeight="1">
      <c r="A60" s="1344">
        <v>84</v>
      </c>
      <c r="B60" s="1345" t="s">
        <v>2942</v>
      </c>
      <c r="C60" s="1346" t="s">
        <v>149</v>
      </c>
      <c r="D60" s="1347">
        <v>91132584</v>
      </c>
      <c r="E60" s="1348" t="s">
        <v>105</v>
      </c>
      <c r="F60" s="1349" t="s">
        <v>37</v>
      </c>
      <c r="G60" s="1363" t="s">
        <v>2943</v>
      </c>
      <c r="H60" s="1351">
        <v>59978960</v>
      </c>
      <c r="I60" s="1352" t="s">
        <v>2795</v>
      </c>
      <c r="J60" s="1353">
        <v>42212</v>
      </c>
      <c r="K60" s="1354" t="s">
        <v>2786</v>
      </c>
      <c r="L60" s="1354"/>
      <c r="M60" s="1355" t="s">
        <v>2857</v>
      </c>
      <c r="N60" s="1356">
        <f t="shared" si="0"/>
        <v>59978960</v>
      </c>
      <c r="O60" s="1357">
        <v>0.8</v>
      </c>
      <c r="P60" s="1327" t="s">
        <v>2788</v>
      </c>
      <c r="Q60" s="1359" t="s">
        <v>2789</v>
      </c>
      <c r="R60" s="1344" t="s">
        <v>2944</v>
      </c>
      <c r="S60" s="1360"/>
      <c r="T60" s="1360"/>
      <c r="U60" s="1361"/>
    </row>
    <row r="61" spans="1:21" ht="60">
      <c r="A61" s="1344">
        <v>114</v>
      </c>
      <c r="B61" s="1345" t="s">
        <v>2942</v>
      </c>
      <c r="C61" s="1346" t="s">
        <v>149</v>
      </c>
      <c r="D61" s="1347">
        <v>91132584</v>
      </c>
      <c r="E61" s="1348" t="s">
        <v>105</v>
      </c>
      <c r="F61" s="1349" t="s">
        <v>37</v>
      </c>
      <c r="G61" s="1363" t="s">
        <v>2945</v>
      </c>
      <c r="H61" s="1351">
        <v>25336743</v>
      </c>
      <c r="I61" s="1352" t="s">
        <v>2785</v>
      </c>
      <c r="J61" s="1353">
        <v>42251</v>
      </c>
      <c r="K61" s="1354" t="s">
        <v>2786</v>
      </c>
      <c r="L61" s="1354"/>
      <c r="M61" s="1355" t="s">
        <v>2787</v>
      </c>
      <c r="N61" s="1356">
        <f t="shared" si="0"/>
        <v>25336743</v>
      </c>
      <c r="O61" s="1357">
        <v>0.9</v>
      </c>
      <c r="P61" s="1327" t="s">
        <v>2788</v>
      </c>
      <c r="Q61" s="1359" t="s">
        <v>2789</v>
      </c>
      <c r="R61" s="1344" t="s">
        <v>2790</v>
      </c>
      <c r="S61" s="1360"/>
      <c r="T61" s="1360"/>
      <c r="U61" s="1361"/>
    </row>
    <row r="62" spans="1:21" ht="72">
      <c r="A62" s="1344">
        <v>62</v>
      </c>
      <c r="B62" s="1345" t="s">
        <v>2946</v>
      </c>
      <c r="C62" s="1346" t="s">
        <v>153</v>
      </c>
      <c r="D62" s="1347">
        <v>331097946</v>
      </c>
      <c r="E62" s="1348" t="s">
        <v>2808</v>
      </c>
      <c r="F62" s="1349" t="s">
        <v>37</v>
      </c>
      <c r="G62" s="1350" t="s">
        <v>2947</v>
      </c>
      <c r="H62" s="1351">
        <v>64427884</v>
      </c>
      <c r="I62" s="1352" t="s">
        <v>2802</v>
      </c>
      <c r="J62" s="1353">
        <v>42191</v>
      </c>
      <c r="K62" s="1354" t="s">
        <v>2786</v>
      </c>
      <c r="L62" s="1354"/>
      <c r="M62" s="1355" t="s">
        <v>2785</v>
      </c>
      <c r="N62" s="1356">
        <f t="shared" si="0"/>
        <v>64427884</v>
      </c>
      <c r="O62" s="1357">
        <v>1</v>
      </c>
      <c r="P62" s="1358" t="s">
        <v>2788</v>
      </c>
      <c r="Q62" s="1359" t="s">
        <v>2789</v>
      </c>
      <c r="R62" s="1344" t="s">
        <v>2948</v>
      </c>
      <c r="S62" s="1366">
        <v>42216</v>
      </c>
      <c r="T62" s="1366" t="s">
        <v>2949</v>
      </c>
      <c r="U62" s="1377">
        <v>42219</v>
      </c>
    </row>
    <row r="63" spans="1:21" ht="84">
      <c r="A63" s="1344">
        <v>85</v>
      </c>
      <c r="B63" s="1345" t="s">
        <v>2946</v>
      </c>
      <c r="C63" s="1346" t="s">
        <v>153</v>
      </c>
      <c r="D63" s="1347">
        <v>331097946</v>
      </c>
      <c r="E63" s="1348" t="s">
        <v>2931</v>
      </c>
      <c r="F63" s="1349" t="s">
        <v>37</v>
      </c>
      <c r="G63" s="1350" t="s">
        <v>2950</v>
      </c>
      <c r="H63" s="1351">
        <v>64398070</v>
      </c>
      <c r="I63" s="1352" t="s">
        <v>2795</v>
      </c>
      <c r="J63" s="1353">
        <v>42212</v>
      </c>
      <c r="K63" s="1354" t="s">
        <v>2786</v>
      </c>
      <c r="L63" s="1354"/>
      <c r="M63" s="1355" t="s">
        <v>2803</v>
      </c>
      <c r="N63" s="1356">
        <f t="shared" si="0"/>
        <v>64398070</v>
      </c>
      <c r="O63" s="1357">
        <v>0.8</v>
      </c>
      <c r="P63" s="1327" t="s">
        <v>2788</v>
      </c>
      <c r="Q63" s="1359" t="s">
        <v>2789</v>
      </c>
      <c r="R63" s="1344" t="s">
        <v>2790</v>
      </c>
      <c r="S63" s="1360"/>
      <c r="T63" s="1360"/>
      <c r="U63" s="1361"/>
    </row>
    <row r="64" spans="1:21" ht="72">
      <c r="A64" s="1344">
        <v>77</v>
      </c>
      <c r="B64" s="1345" t="s">
        <v>2946</v>
      </c>
      <c r="C64" s="1346" t="s">
        <v>153</v>
      </c>
      <c r="D64" s="1347">
        <v>331097946</v>
      </c>
      <c r="E64" s="1348" t="s">
        <v>105</v>
      </c>
      <c r="F64" s="1349" t="s">
        <v>37</v>
      </c>
      <c r="G64" s="1363" t="s">
        <v>2951</v>
      </c>
      <c r="H64" s="1351">
        <v>64395950</v>
      </c>
      <c r="I64" s="1352" t="s">
        <v>2795</v>
      </c>
      <c r="J64" s="1353">
        <v>42214</v>
      </c>
      <c r="K64" s="1354" t="s">
        <v>2786</v>
      </c>
      <c r="L64" s="1354"/>
      <c r="M64" s="1355" t="s">
        <v>2803</v>
      </c>
      <c r="N64" s="1356">
        <f t="shared" si="0"/>
        <v>64395950</v>
      </c>
      <c r="O64" s="1357">
        <v>0.8</v>
      </c>
      <c r="P64" s="1327" t="s">
        <v>2788</v>
      </c>
      <c r="Q64" s="1359" t="s">
        <v>2789</v>
      </c>
      <c r="R64" s="1344" t="s">
        <v>2790</v>
      </c>
      <c r="S64" s="1360"/>
      <c r="T64" s="1360"/>
      <c r="U64" s="1361"/>
    </row>
    <row r="65" spans="1:21" ht="37.5" customHeight="1">
      <c r="A65" s="1344">
        <v>105</v>
      </c>
      <c r="B65" s="1345" t="s">
        <v>2946</v>
      </c>
      <c r="C65" s="1346" t="s">
        <v>153</v>
      </c>
      <c r="D65" s="1347">
        <v>331097946</v>
      </c>
      <c r="E65" s="1348" t="s">
        <v>2792</v>
      </c>
      <c r="F65" s="1349" t="s">
        <v>37</v>
      </c>
      <c r="G65" s="1350" t="s">
        <v>2952</v>
      </c>
      <c r="H65" s="1351">
        <v>63581087</v>
      </c>
      <c r="I65" s="1352" t="s">
        <v>2795</v>
      </c>
      <c r="J65" s="1353">
        <v>42233</v>
      </c>
      <c r="K65" s="1354" t="s">
        <v>2786</v>
      </c>
      <c r="L65" s="1354"/>
      <c r="M65" s="1355" t="s">
        <v>2787</v>
      </c>
      <c r="N65" s="1356">
        <f t="shared" si="0"/>
        <v>63581087</v>
      </c>
      <c r="O65" s="1357">
        <v>0.6</v>
      </c>
      <c r="P65" s="1358" t="s">
        <v>2788</v>
      </c>
      <c r="Q65" s="1359" t="s">
        <v>2789</v>
      </c>
      <c r="R65" s="1344" t="s">
        <v>2807</v>
      </c>
      <c r="S65" s="1360"/>
      <c r="T65" s="1360"/>
      <c r="U65" s="1361"/>
    </row>
    <row r="66" spans="1:21" ht="45.75" customHeight="1">
      <c r="A66" s="1344">
        <v>64</v>
      </c>
      <c r="B66" s="1345" t="s">
        <v>2946</v>
      </c>
      <c r="C66" s="1346" t="s">
        <v>153</v>
      </c>
      <c r="D66" s="1347">
        <v>331097946</v>
      </c>
      <c r="E66" s="1348" t="s">
        <v>105</v>
      </c>
      <c r="F66" s="1349" t="s">
        <v>37</v>
      </c>
      <c r="G66" s="1363" t="s">
        <v>2953</v>
      </c>
      <c r="H66" s="1351">
        <v>63472880</v>
      </c>
      <c r="I66" s="1352" t="s">
        <v>2802</v>
      </c>
      <c r="J66" s="1353">
        <v>42193</v>
      </c>
      <c r="K66" s="1354" t="s">
        <v>2786</v>
      </c>
      <c r="L66" s="1354"/>
      <c r="M66" s="1355" t="s">
        <v>2846</v>
      </c>
      <c r="N66" s="1356">
        <f t="shared" si="0"/>
        <v>63472880</v>
      </c>
      <c r="O66" s="1357">
        <v>1</v>
      </c>
      <c r="P66" s="1358" t="s">
        <v>2788</v>
      </c>
      <c r="Q66" s="1359" t="s">
        <v>2789</v>
      </c>
      <c r="R66" s="1344" t="s">
        <v>2790</v>
      </c>
      <c r="S66" s="1366">
        <v>42265</v>
      </c>
      <c r="T66" s="1366" t="s">
        <v>2954</v>
      </c>
      <c r="U66" s="1372" t="s">
        <v>2904</v>
      </c>
    </row>
    <row r="67" spans="1:21" s="337" customFormat="1" ht="69" customHeight="1">
      <c r="A67" s="1344">
        <v>107</v>
      </c>
      <c r="B67" s="1345" t="s">
        <v>2946</v>
      </c>
      <c r="C67" s="1346" t="s">
        <v>153</v>
      </c>
      <c r="D67" s="1347">
        <v>331097946</v>
      </c>
      <c r="E67" s="1348" t="s">
        <v>105</v>
      </c>
      <c r="F67" s="1349" t="s">
        <v>37</v>
      </c>
      <c r="G67" s="1363" t="s">
        <v>2955</v>
      </c>
      <c r="H67" s="1351">
        <v>9876147</v>
      </c>
      <c r="I67" s="1352" t="s">
        <v>2846</v>
      </c>
      <c r="J67" s="1353">
        <v>42226</v>
      </c>
      <c r="K67" s="1354" t="s">
        <v>2786</v>
      </c>
      <c r="L67" s="1354"/>
      <c r="M67" s="1355" t="s">
        <v>2803</v>
      </c>
      <c r="N67" s="1356">
        <f t="shared" si="0"/>
        <v>9876147</v>
      </c>
      <c r="O67" s="1357">
        <v>0.6</v>
      </c>
      <c r="P67" s="1358" t="s">
        <v>2788</v>
      </c>
      <c r="Q67" s="1359" t="s">
        <v>2789</v>
      </c>
      <c r="R67" s="1344" t="s">
        <v>2876</v>
      </c>
      <c r="S67" s="1360"/>
      <c r="T67" s="1360"/>
      <c r="U67" s="1361"/>
    </row>
    <row r="68" spans="1:21" s="337" customFormat="1" ht="82.5" customHeight="1">
      <c r="A68" s="1344">
        <v>87</v>
      </c>
      <c r="B68" s="1345" t="s">
        <v>2956</v>
      </c>
      <c r="C68" s="1346" t="s">
        <v>184</v>
      </c>
      <c r="D68" s="1347">
        <v>64829231</v>
      </c>
      <c r="E68" s="1348" t="s">
        <v>2783</v>
      </c>
      <c r="F68" s="1349" t="s">
        <v>37</v>
      </c>
      <c r="G68" s="1350" t="s">
        <v>2957</v>
      </c>
      <c r="H68" s="1351">
        <v>64381765</v>
      </c>
      <c r="I68" s="1352" t="s">
        <v>2795</v>
      </c>
      <c r="J68" s="1353">
        <v>42220</v>
      </c>
      <c r="K68" s="1354" t="s">
        <v>2786</v>
      </c>
      <c r="L68" s="1354"/>
      <c r="M68" s="1355" t="s">
        <v>2846</v>
      </c>
      <c r="N68" s="1356">
        <f t="shared" si="0"/>
        <v>64381765</v>
      </c>
      <c r="O68" s="1357">
        <v>1</v>
      </c>
      <c r="P68" s="1327" t="s">
        <v>2788</v>
      </c>
      <c r="Q68" s="1359" t="s">
        <v>2789</v>
      </c>
      <c r="R68" s="1344" t="s">
        <v>2790</v>
      </c>
      <c r="S68" s="1366">
        <v>42265</v>
      </c>
      <c r="T68" s="1366" t="s">
        <v>2958</v>
      </c>
      <c r="U68" s="1361"/>
    </row>
    <row r="69" spans="1:21" s="337" customFormat="1" ht="89.25" customHeight="1">
      <c r="A69" s="1344">
        <v>86</v>
      </c>
      <c r="B69" s="1345" t="s">
        <v>2959</v>
      </c>
      <c r="C69" s="1346" t="s">
        <v>151</v>
      </c>
      <c r="D69" s="1347">
        <v>290126708</v>
      </c>
      <c r="E69" s="1348" t="s">
        <v>105</v>
      </c>
      <c r="F69" s="1349" t="s">
        <v>37</v>
      </c>
      <c r="G69" s="1363" t="s">
        <v>2960</v>
      </c>
      <c r="H69" s="1351">
        <v>64433708</v>
      </c>
      <c r="I69" s="1352" t="s">
        <v>2795</v>
      </c>
      <c r="J69" s="1353">
        <v>42209</v>
      </c>
      <c r="K69" s="1354" t="s">
        <v>2786</v>
      </c>
      <c r="L69" s="1354"/>
      <c r="M69" s="1355" t="s">
        <v>2846</v>
      </c>
      <c r="N69" s="1356">
        <f t="shared" si="0"/>
        <v>64433708</v>
      </c>
      <c r="O69" s="1357">
        <v>1</v>
      </c>
      <c r="P69" s="1327" t="s">
        <v>2788</v>
      </c>
      <c r="Q69" s="1359" t="s">
        <v>2789</v>
      </c>
      <c r="R69" s="1344" t="s">
        <v>2847</v>
      </c>
      <c r="S69" s="1366">
        <v>42236</v>
      </c>
      <c r="T69" s="1366" t="s">
        <v>2961</v>
      </c>
      <c r="U69" s="1377">
        <v>42258</v>
      </c>
    </row>
    <row r="70" spans="1:21" s="337" customFormat="1" ht="62.25" customHeight="1">
      <c r="A70" s="1344">
        <v>112</v>
      </c>
      <c r="B70" s="1345" t="s">
        <v>2962</v>
      </c>
      <c r="C70" s="1346" t="s">
        <v>503</v>
      </c>
      <c r="D70" s="1347">
        <v>200000000</v>
      </c>
      <c r="E70" s="1348" t="s">
        <v>2792</v>
      </c>
      <c r="F70" s="1349" t="s">
        <v>37</v>
      </c>
      <c r="G70" s="1350" t="s">
        <v>2963</v>
      </c>
      <c r="H70" s="1351">
        <v>128000000</v>
      </c>
      <c r="I70" s="1352" t="s">
        <v>2785</v>
      </c>
      <c r="J70" s="1353">
        <v>42259</v>
      </c>
      <c r="K70" s="1354" t="s">
        <v>2786</v>
      </c>
      <c r="L70" s="1354"/>
      <c r="M70" s="1355" t="s">
        <v>2787</v>
      </c>
      <c r="N70" s="1356">
        <f t="shared" si="0"/>
        <v>128000000</v>
      </c>
      <c r="O70" s="1357">
        <v>0.2</v>
      </c>
      <c r="P70" s="1358" t="s">
        <v>2788</v>
      </c>
      <c r="Q70" s="1359" t="s">
        <v>2789</v>
      </c>
      <c r="R70" s="1344" t="s">
        <v>2790</v>
      </c>
      <c r="S70" s="1360"/>
      <c r="T70" s="1360"/>
      <c r="U70" s="1361"/>
    </row>
    <row r="71" spans="1:21" s="337" customFormat="1" ht="89.25" customHeight="1">
      <c r="A71" s="1344">
        <v>38</v>
      </c>
      <c r="B71" s="1345" t="s">
        <v>2962</v>
      </c>
      <c r="C71" s="1346" t="s">
        <v>503</v>
      </c>
      <c r="D71" s="1347">
        <v>200000000</v>
      </c>
      <c r="E71" s="1348" t="s">
        <v>105</v>
      </c>
      <c r="F71" s="1349" t="s">
        <v>37</v>
      </c>
      <c r="G71" s="1363" t="s">
        <v>2964</v>
      </c>
      <c r="H71" s="1351">
        <v>64323067</v>
      </c>
      <c r="I71" s="1352" t="s">
        <v>2794</v>
      </c>
      <c r="J71" s="1353">
        <v>42152</v>
      </c>
      <c r="K71" s="1354" t="s">
        <v>2786</v>
      </c>
      <c r="L71" s="1354"/>
      <c r="M71" s="1355" t="s">
        <v>2785</v>
      </c>
      <c r="N71" s="1356">
        <f t="shared" si="0"/>
        <v>64323067</v>
      </c>
      <c r="O71" s="1357">
        <v>0.81</v>
      </c>
      <c r="P71" s="1327" t="s">
        <v>2788</v>
      </c>
      <c r="Q71" s="1359" t="s">
        <v>2789</v>
      </c>
      <c r="R71" s="1344" t="s">
        <v>2867</v>
      </c>
      <c r="S71" s="1366" t="s">
        <v>2965</v>
      </c>
      <c r="T71" s="1360" t="s">
        <v>2966</v>
      </c>
      <c r="U71" s="1361"/>
    </row>
    <row r="72" spans="1:21" s="337" customFormat="1" ht="51.75" customHeight="1">
      <c r="A72" s="1344">
        <v>106</v>
      </c>
      <c r="B72" s="1345" t="s">
        <v>2962</v>
      </c>
      <c r="C72" s="1346" t="s">
        <v>503</v>
      </c>
      <c r="D72" s="1347">
        <v>200000000</v>
      </c>
      <c r="E72" s="1348" t="s">
        <v>105</v>
      </c>
      <c r="F72" s="1349" t="s">
        <v>37</v>
      </c>
      <c r="G72" s="1363" t="s">
        <v>2967</v>
      </c>
      <c r="H72" s="1351">
        <v>6056128</v>
      </c>
      <c r="I72" s="1352" t="s">
        <v>2795</v>
      </c>
      <c r="J72" s="1353">
        <v>42226</v>
      </c>
      <c r="K72" s="1354" t="s">
        <v>2786</v>
      </c>
      <c r="L72" s="1354"/>
      <c r="M72" s="1355" t="s">
        <v>2857</v>
      </c>
      <c r="N72" s="1356">
        <f t="shared" si="0"/>
        <v>6056128</v>
      </c>
      <c r="O72" s="1357">
        <v>0.4</v>
      </c>
      <c r="P72" s="1358" t="s">
        <v>2788</v>
      </c>
      <c r="Q72" s="1359" t="s">
        <v>2789</v>
      </c>
      <c r="R72" s="1344" t="s">
        <v>2876</v>
      </c>
      <c r="S72" s="1360"/>
      <c r="T72" s="1360"/>
      <c r="U72" s="1361"/>
    </row>
    <row r="73" spans="1:21" s="337" customFormat="1" ht="74.25" customHeight="1">
      <c r="A73" s="1344">
        <v>135</v>
      </c>
      <c r="B73" s="1345" t="s">
        <v>2968</v>
      </c>
      <c r="C73" s="1346" t="s">
        <v>38</v>
      </c>
      <c r="D73" s="1347">
        <v>175000000</v>
      </c>
      <c r="E73" s="1348" t="s">
        <v>2969</v>
      </c>
      <c r="F73" s="1349" t="s">
        <v>37</v>
      </c>
      <c r="G73" s="1350" t="s">
        <v>2970</v>
      </c>
      <c r="H73" s="1351">
        <v>56969096</v>
      </c>
      <c r="I73" s="1352" t="s">
        <v>2846</v>
      </c>
      <c r="J73" s="1353">
        <v>42274</v>
      </c>
      <c r="K73" s="1354" t="s">
        <v>2786</v>
      </c>
      <c r="L73" s="1354"/>
      <c r="M73" s="1355" t="s">
        <v>2787</v>
      </c>
      <c r="N73" s="1356">
        <f t="shared" si="0"/>
        <v>56969096</v>
      </c>
      <c r="O73" s="1357">
        <v>0.2</v>
      </c>
      <c r="P73" s="1358" t="s">
        <v>2788</v>
      </c>
      <c r="Q73" s="1359" t="s">
        <v>2789</v>
      </c>
      <c r="R73" s="1344" t="s">
        <v>2944</v>
      </c>
      <c r="S73" s="1360"/>
      <c r="T73" s="1360"/>
      <c r="U73" s="1361"/>
    </row>
    <row r="74" spans="1:21" s="337" customFormat="1" ht="51.75" customHeight="1">
      <c r="A74" s="1344">
        <v>133</v>
      </c>
      <c r="B74" s="1345" t="s">
        <v>2968</v>
      </c>
      <c r="C74" s="1346" t="s">
        <v>38</v>
      </c>
      <c r="D74" s="1347">
        <v>175000000</v>
      </c>
      <c r="E74" s="1348" t="s">
        <v>2971</v>
      </c>
      <c r="F74" s="1349" t="s">
        <v>37</v>
      </c>
      <c r="G74" s="1350" t="s">
        <v>2972</v>
      </c>
      <c r="H74" s="1351">
        <v>55612627</v>
      </c>
      <c r="I74" s="1352" t="s">
        <v>2846</v>
      </c>
      <c r="J74" s="1353">
        <v>42274</v>
      </c>
      <c r="K74" s="1354" t="s">
        <v>2786</v>
      </c>
      <c r="L74" s="1354"/>
      <c r="M74" s="1355" t="s">
        <v>2787</v>
      </c>
      <c r="N74" s="1356">
        <f t="shared" si="0"/>
        <v>55612627</v>
      </c>
      <c r="O74" s="1357">
        <v>0.2</v>
      </c>
      <c r="P74" s="1358" t="s">
        <v>2788</v>
      </c>
      <c r="Q74" s="1359" t="s">
        <v>2789</v>
      </c>
      <c r="R74" s="1344" t="s">
        <v>2944</v>
      </c>
      <c r="S74" s="1360"/>
      <c r="T74" s="1360"/>
      <c r="U74" s="1361"/>
    </row>
    <row r="75" spans="1:21" ht="45.75" customHeight="1">
      <c r="A75" s="1344">
        <v>134</v>
      </c>
      <c r="B75" s="1345" t="s">
        <v>2968</v>
      </c>
      <c r="C75" s="1346" t="s">
        <v>38</v>
      </c>
      <c r="D75" s="1347">
        <v>175000000</v>
      </c>
      <c r="E75" s="1348" t="s">
        <v>2973</v>
      </c>
      <c r="F75" s="1349" t="s">
        <v>37</v>
      </c>
      <c r="G75" s="1350" t="s">
        <v>2974</v>
      </c>
      <c r="H75" s="1351">
        <v>55140530</v>
      </c>
      <c r="I75" s="1352" t="s">
        <v>2846</v>
      </c>
      <c r="J75" s="1353">
        <v>42274</v>
      </c>
      <c r="K75" s="1354" t="s">
        <v>2786</v>
      </c>
      <c r="L75" s="1354"/>
      <c r="M75" s="1355" t="s">
        <v>2787</v>
      </c>
      <c r="N75" s="1356">
        <f t="shared" si="0"/>
        <v>55140530</v>
      </c>
      <c r="O75" s="1357">
        <v>0.2</v>
      </c>
      <c r="P75" s="1358" t="s">
        <v>2788</v>
      </c>
      <c r="Q75" s="1359" t="s">
        <v>2789</v>
      </c>
      <c r="R75" s="1344" t="s">
        <v>2944</v>
      </c>
      <c r="S75" s="1360"/>
      <c r="T75" s="1360"/>
      <c r="U75" s="1361"/>
    </row>
    <row r="76" spans="1:21" ht="56.25" customHeight="1">
      <c r="A76" s="1344">
        <v>113</v>
      </c>
      <c r="B76" s="1345" t="s">
        <v>2975</v>
      </c>
      <c r="C76" s="1346" t="s">
        <v>442</v>
      </c>
      <c r="D76" s="1347">
        <v>15000000</v>
      </c>
      <c r="E76" s="1348" t="s">
        <v>2792</v>
      </c>
      <c r="F76" s="1349" t="s">
        <v>37</v>
      </c>
      <c r="G76" s="1350" t="s">
        <v>2976</v>
      </c>
      <c r="H76" s="1351">
        <v>14784079</v>
      </c>
      <c r="I76" s="1352" t="s">
        <v>2785</v>
      </c>
      <c r="J76" s="1353">
        <v>42254</v>
      </c>
      <c r="K76" s="1354" t="s">
        <v>2786</v>
      </c>
      <c r="L76" s="1354"/>
      <c r="M76" s="1355" t="s">
        <v>2787</v>
      </c>
      <c r="N76" s="1356">
        <f t="shared" si="0"/>
        <v>14784079</v>
      </c>
      <c r="O76" s="1357">
        <v>0.4</v>
      </c>
      <c r="P76" s="1327" t="s">
        <v>2788</v>
      </c>
      <c r="Q76" s="1359" t="s">
        <v>2789</v>
      </c>
      <c r="R76" s="1344" t="s">
        <v>2807</v>
      </c>
      <c r="S76" s="1360"/>
      <c r="T76" s="1360"/>
      <c r="U76" s="1361"/>
    </row>
    <row r="77" spans="1:21" ht="45.75" customHeight="1">
      <c r="A77" s="1344">
        <v>82</v>
      </c>
      <c r="B77" s="1345" t="s">
        <v>2977</v>
      </c>
      <c r="C77" s="1346" t="s">
        <v>158</v>
      </c>
      <c r="D77" s="1347">
        <v>64176000</v>
      </c>
      <c r="E77" s="1348" t="s">
        <v>105</v>
      </c>
      <c r="F77" s="1349" t="s">
        <v>37</v>
      </c>
      <c r="G77" s="1363" t="s">
        <v>2978</v>
      </c>
      <c r="H77" s="1351">
        <v>64433803</v>
      </c>
      <c r="I77" s="1352" t="s">
        <v>2802</v>
      </c>
      <c r="J77" s="1353">
        <v>42240</v>
      </c>
      <c r="K77" s="1354" t="s">
        <v>2786</v>
      </c>
      <c r="L77" s="1354"/>
      <c r="M77" s="1355" t="s">
        <v>2803</v>
      </c>
      <c r="N77" s="1356">
        <f t="shared" si="0"/>
        <v>64433803</v>
      </c>
      <c r="O77" s="1357">
        <v>0.7</v>
      </c>
      <c r="P77" s="1327" t="s">
        <v>2788</v>
      </c>
      <c r="Q77" s="1359" t="s">
        <v>2789</v>
      </c>
      <c r="R77" s="1344" t="s">
        <v>2888</v>
      </c>
      <c r="S77" s="1360"/>
      <c r="T77" s="1360"/>
      <c r="U77" s="1361"/>
    </row>
    <row r="78" spans="1:21" ht="64.5" customHeight="1">
      <c r="A78" s="1344">
        <v>81</v>
      </c>
      <c r="B78" s="1345" t="s">
        <v>2977</v>
      </c>
      <c r="C78" s="1346" t="s">
        <v>158</v>
      </c>
      <c r="D78" s="1347">
        <v>64176000</v>
      </c>
      <c r="E78" s="1348" t="s">
        <v>105</v>
      </c>
      <c r="F78" s="1349" t="s">
        <v>37</v>
      </c>
      <c r="G78" s="1363" t="s">
        <v>2979</v>
      </c>
      <c r="H78" s="1351">
        <v>64101503</v>
      </c>
      <c r="I78" s="1352" t="s">
        <v>2802</v>
      </c>
      <c r="J78" s="1353">
        <v>42214</v>
      </c>
      <c r="K78" s="1354" t="s">
        <v>2786</v>
      </c>
      <c r="L78" s="1354"/>
      <c r="M78" s="1355" t="s">
        <v>2846</v>
      </c>
      <c r="N78" s="1356">
        <f t="shared" si="0"/>
        <v>64101503</v>
      </c>
      <c r="O78" s="1357">
        <v>1</v>
      </c>
      <c r="P78" s="1327" t="s">
        <v>2788</v>
      </c>
      <c r="Q78" s="1359" t="s">
        <v>2789</v>
      </c>
      <c r="R78" s="1344" t="s">
        <v>2790</v>
      </c>
      <c r="S78" s="1366">
        <v>42261</v>
      </c>
      <c r="T78" s="1366" t="s">
        <v>2980</v>
      </c>
      <c r="U78" s="1372" t="s">
        <v>2904</v>
      </c>
    </row>
    <row r="79" spans="1:21" ht="79.5" customHeight="1">
      <c r="A79" s="1344">
        <v>83</v>
      </c>
      <c r="B79" s="1345" t="s">
        <v>2925</v>
      </c>
      <c r="C79" s="1346" t="s">
        <v>159</v>
      </c>
      <c r="D79" s="1347">
        <v>204000000</v>
      </c>
      <c r="E79" s="1348" t="s">
        <v>105</v>
      </c>
      <c r="F79" s="1349" t="s">
        <v>37</v>
      </c>
      <c r="G79" s="1363" t="s">
        <v>2981</v>
      </c>
      <c r="H79" s="1351">
        <v>10647278</v>
      </c>
      <c r="I79" s="1352" t="s">
        <v>2802</v>
      </c>
      <c r="J79" s="1353">
        <v>42214</v>
      </c>
      <c r="K79" s="1354" t="s">
        <v>2786</v>
      </c>
      <c r="L79" s="1354"/>
      <c r="M79" s="1355" t="s">
        <v>2803</v>
      </c>
      <c r="N79" s="1356">
        <f t="shared" si="0"/>
        <v>10647278</v>
      </c>
      <c r="O79" s="1357">
        <v>0.7</v>
      </c>
      <c r="P79" s="1327" t="s">
        <v>2788</v>
      </c>
      <c r="Q79" s="1359" t="s">
        <v>2789</v>
      </c>
      <c r="R79" s="1344" t="s">
        <v>2888</v>
      </c>
      <c r="S79" s="1360"/>
      <c r="T79" s="1360"/>
      <c r="U79" s="1361"/>
    </row>
    <row r="80" spans="1:21" ht="79.5" customHeight="1">
      <c r="A80" s="1344">
        <v>13</v>
      </c>
      <c r="B80" s="1345" t="s">
        <v>2982</v>
      </c>
      <c r="C80" s="1346" t="s">
        <v>101</v>
      </c>
      <c r="D80" s="1347">
        <v>49991800</v>
      </c>
      <c r="E80" s="1348" t="s">
        <v>2792</v>
      </c>
      <c r="F80" s="1349" t="s">
        <v>37</v>
      </c>
      <c r="G80" s="1350" t="s">
        <v>2983</v>
      </c>
      <c r="H80" s="1347">
        <v>23985760</v>
      </c>
      <c r="I80" s="1352" t="s">
        <v>2866</v>
      </c>
      <c r="J80" s="1353">
        <v>42113</v>
      </c>
      <c r="K80" s="1354" t="s">
        <v>2786</v>
      </c>
      <c r="L80" s="1354"/>
      <c r="M80" s="1355" t="s">
        <v>2795</v>
      </c>
      <c r="N80" s="1356">
        <f t="shared" si="0"/>
        <v>23985760</v>
      </c>
      <c r="O80" s="1357">
        <v>0.5</v>
      </c>
      <c r="P80" s="742" t="s">
        <v>2984</v>
      </c>
      <c r="Q80" s="1378" t="s">
        <v>2985</v>
      </c>
      <c r="R80" s="1362" t="s">
        <v>2831</v>
      </c>
      <c r="S80" s="1360" t="s">
        <v>2986</v>
      </c>
      <c r="T80" s="1360" t="s">
        <v>2987</v>
      </c>
      <c r="U80" s="1361"/>
    </row>
    <row r="81" spans="1:21" ht="79.5" customHeight="1">
      <c r="A81" s="1344">
        <v>39</v>
      </c>
      <c r="B81" s="1345" t="s">
        <v>2988</v>
      </c>
      <c r="C81" s="1346" t="s">
        <v>102</v>
      </c>
      <c r="D81" s="1347">
        <v>45000000</v>
      </c>
      <c r="E81" s="1348" t="s">
        <v>2792</v>
      </c>
      <c r="F81" s="1349" t="s">
        <v>37</v>
      </c>
      <c r="G81" s="1350" t="s">
        <v>2989</v>
      </c>
      <c r="H81" s="1351">
        <v>22811738</v>
      </c>
      <c r="I81" s="1352" t="s">
        <v>2794</v>
      </c>
      <c r="J81" s="1353">
        <v>42153</v>
      </c>
      <c r="K81" s="1354" t="s">
        <v>2786</v>
      </c>
      <c r="L81" s="1354"/>
      <c r="M81" s="1355" t="s">
        <v>2857</v>
      </c>
      <c r="N81" s="1356">
        <f t="shared" si="0"/>
        <v>22811738</v>
      </c>
      <c r="O81" s="1357">
        <v>0.75</v>
      </c>
      <c r="P81" s="1327" t="s">
        <v>2984</v>
      </c>
      <c r="Q81" s="1378" t="s">
        <v>2985</v>
      </c>
      <c r="R81" s="1344" t="s">
        <v>2831</v>
      </c>
      <c r="S81" s="1360" t="s">
        <v>2990</v>
      </c>
      <c r="T81" s="1360" t="s">
        <v>2991</v>
      </c>
      <c r="U81" s="1361"/>
    </row>
    <row r="82" spans="1:21" ht="79.5" customHeight="1">
      <c r="A82" s="1344">
        <v>23</v>
      </c>
      <c r="B82" s="1345" t="s">
        <v>2992</v>
      </c>
      <c r="C82" s="1346" t="s">
        <v>1146</v>
      </c>
      <c r="D82" s="1347">
        <v>14608200</v>
      </c>
      <c r="E82" s="1348" t="s">
        <v>105</v>
      </c>
      <c r="F82" s="1349" t="s">
        <v>37</v>
      </c>
      <c r="G82" s="1350" t="s">
        <v>2993</v>
      </c>
      <c r="H82" s="1351">
        <v>14608200</v>
      </c>
      <c r="I82" s="1352" t="s">
        <v>2794</v>
      </c>
      <c r="J82" s="1353">
        <v>42130</v>
      </c>
      <c r="K82" s="1354" t="s">
        <v>2786</v>
      </c>
      <c r="L82" s="1354"/>
      <c r="M82" s="1355" t="s">
        <v>2830</v>
      </c>
      <c r="N82" s="1356">
        <f t="shared" si="0"/>
        <v>14608200</v>
      </c>
      <c r="O82" s="1357">
        <v>1</v>
      </c>
      <c r="P82" s="742" t="s">
        <v>2984</v>
      </c>
      <c r="Q82" s="1378" t="s">
        <v>2985</v>
      </c>
      <c r="R82" s="1362" t="s">
        <v>2847</v>
      </c>
      <c r="S82" s="1366">
        <v>42153</v>
      </c>
      <c r="T82" s="1366" t="s">
        <v>2994</v>
      </c>
      <c r="U82" s="1377">
        <v>42234</v>
      </c>
    </row>
    <row r="83" spans="1:21" ht="31.5" customHeight="1">
      <c r="A83" s="1344">
        <v>35</v>
      </c>
      <c r="B83" s="1345" t="s">
        <v>2995</v>
      </c>
      <c r="C83" s="1346" t="s">
        <v>103</v>
      </c>
      <c r="D83" s="1347">
        <v>109627965</v>
      </c>
      <c r="E83" s="1348" t="s">
        <v>105</v>
      </c>
      <c r="F83" s="1349" t="s">
        <v>37</v>
      </c>
      <c r="G83" s="1350" t="s">
        <v>2996</v>
      </c>
      <c r="H83" s="1351">
        <v>109627964</v>
      </c>
      <c r="I83" s="1352" t="s">
        <v>2794</v>
      </c>
      <c r="J83" s="1353">
        <v>42157</v>
      </c>
      <c r="K83" s="1354" t="s">
        <v>2786</v>
      </c>
      <c r="L83" s="1354"/>
      <c r="M83" s="1355" t="s">
        <v>2803</v>
      </c>
      <c r="N83" s="1356">
        <f t="shared" si="0"/>
        <v>109627964</v>
      </c>
      <c r="O83" s="1357">
        <v>0.5</v>
      </c>
      <c r="P83" s="1327" t="s">
        <v>2901</v>
      </c>
      <c r="Q83" s="1379" t="s">
        <v>2997</v>
      </c>
      <c r="R83" s="1344" t="s">
        <v>2831</v>
      </c>
      <c r="S83" s="1360"/>
      <c r="T83" s="1360"/>
      <c r="U83" s="1361"/>
    </row>
    <row r="84" spans="1:21" s="337" customFormat="1" ht="27.75" customHeight="1">
      <c r="A84" s="1344">
        <v>43</v>
      </c>
      <c r="B84" s="1345" t="s">
        <v>2998</v>
      </c>
      <c r="C84" s="1346" t="s">
        <v>2999</v>
      </c>
      <c r="D84" s="1347">
        <v>42750320</v>
      </c>
      <c r="E84" s="1348" t="s">
        <v>105</v>
      </c>
      <c r="F84" s="1349" t="s">
        <v>37</v>
      </c>
      <c r="G84" s="1363" t="s">
        <v>3000</v>
      </c>
      <c r="H84" s="1351">
        <v>27007600</v>
      </c>
      <c r="I84" s="1352" t="s">
        <v>2830</v>
      </c>
      <c r="J84" s="1353">
        <v>42157</v>
      </c>
      <c r="K84" s="1354" t="s">
        <v>2786</v>
      </c>
      <c r="L84" s="1354"/>
      <c r="M84" s="1355" t="s">
        <v>2785</v>
      </c>
      <c r="N84" s="1356">
        <f t="shared" si="0"/>
        <v>27007600</v>
      </c>
      <c r="O84" s="1357">
        <v>0.4</v>
      </c>
      <c r="P84" s="1327" t="s">
        <v>2901</v>
      </c>
      <c r="Q84" s="1379" t="s">
        <v>2997</v>
      </c>
      <c r="R84" s="1344" t="s">
        <v>2831</v>
      </c>
      <c r="S84" s="1360" t="s">
        <v>3001</v>
      </c>
      <c r="T84" s="1360" t="s">
        <v>3002</v>
      </c>
      <c r="U84" s="1361"/>
    </row>
    <row r="85" spans="1:21" s="337" customFormat="1" ht="144">
      <c r="A85" s="1344">
        <v>47</v>
      </c>
      <c r="B85" s="1345" t="s">
        <v>2998</v>
      </c>
      <c r="C85" s="1346" t="s">
        <v>2999</v>
      </c>
      <c r="D85" s="1347">
        <v>42750320</v>
      </c>
      <c r="E85" s="1348" t="s">
        <v>2938</v>
      </c>
      <c r="F85" s="1349" t="s">
        <v>37</v>
      </c>
      <c r="G85" s="1350" t="s">
        <v>3003</v>
      </c>
      <c r="H85" s="1351">
        <v>7871360</v>
      </c>
      <c r="I85" s="1352" t="s">
        <v>2830</v>
      </c>
      <c r="J85" s="1353">
        <v>42159</v>
      </c>
      <c r="K85" s="1354" t="s">
        <v>2786</v>
      </c>
      <c r="L85" s="1354"/>
      <c r="M85" s="1355" t="s">
        <v>2803</v>
      </c>
      <c r="N85" s="1356">
        <f t="shared" si="0"/>
        <v>7871360</v>
      </c>
      <c r="O85" s="1357">
        <v>0.5</v>
      </c>
      <c r="P85" s="1358" t="s">
        <v>2901</v>
      </c>
      <c r="Q85" s="1379" t="s">
        <v>2997</v>
      </c>
      <c r="R85" s="1344" t="s">
        <v>2831</v>
      </c>
      <c r="S85" s="1360"/>
      <c r="T85" s="1360"/>
      <c r="U85" s="1361"/>
    </row>
    <row r="86" spans="1:21" s="337" customFormat="1" ht="144">
      <c r="A86" s="1344">
        <v>42</v>
      </c>
      <c r="B86" s="1345" t="s">
        <v>2998</v>
      </c>
      <c r="C86" s="1346" t="s">
        <v>2999</v>
      </c>
      <c r="D86" s="1347">
        <v>42750320</v>
      </c>
      <c r="E86" s="1348" t="s">
        <v>2822</v>
      </c>
      <c r="F86" s="1349" t="s">
        <v>37</v>
      </c>
      <c r="G86" s="1350" t="s">
        <v>3004</v>
      </c>
      <c r="H86" s="1351">
        <v>7863328</v>
      </c>
      <c r="I86" s="1352" t="s">
        <v>2830</v>
      </c>
      <c r="J86" s="1353">
        <v>42157</v>
      </c>
      <c r="K86" s="1354" t="s">
        <v>2786</v>
      </c>
      <c r="L86" s="1354"/>
      <c r="M86" s="1355" t="s">
        <v>2803</v>
      </c>
      <c r="N86" s="1356">
        <f t="shared" si="0"/>
        <v>7863328</v>
      </c>
      <c r="O86" s="1357">
        <v>0.5</v>
      </c>
      <c r="P86" s="1327" t="s">
        <v>2901</v>
      </c>
      <c r="Q86" s="1379" t="s">
        <v>2997</v>
      </c>
      <c r="R86" s="1344" t="s">
        <v>2831</v>
      </c>
      <c r="S86" s="1360"/>
      <c r="T86" s="1360"/>
      <c r="U86" s="1361"/>
    </row>
    <row r="87" spans="1:21" s="337" customFormat="1" ht="84">
      <c r="A87" s="1344">
        <v>36</v>
      </c>
      <c r="B87" s="1345" t="s">
        <v>3005</v>
      </c>
      <c r="C87" s="1346" t="s">
        <v>1148</v>
      </c>
      <c r="D87" s="1347">
        <v>15060000</v>
      </c>
      <c r="E87" s="1348" t="s">
        <v>2792</v>
      </c>
      <c r="F87" s="1349" t="s">
        <v>37</v>
      </c>
      <c r="G87" s="1350" t="s">
        <v>3006</v>
      </c>
      <c r="H87" s="1351">
        <v>15035904</v>
      </c>
      <c r="I87" s="1352" t="s">
        <v>2794</v>
      </c>
      <c r="J87" s="1353">
        <v>42145</v>
      </c>
      <c r="K87" s="1354" t="s">
        <v>2786</v>
      </c>
      <c r="L87" s="1354"/>
      <c r="M87" s="1355" t="s">
        <v>2785</v>
      </c>
      <c r="N87" s="1356">
        <f t="shared" si="0"/>
        <v>15035904</v>
      </c>
      <c r="O87" s="1357">
        <v>0.4</v>
      </c>
      <c r="P87" s="1327" t="s">
        <v>2901</v>
      </c>
      <c r="Q87" s="1379" t="s">
        <v>2997</v>
      </c>
      <c r="R87" s="1344" t="s">
        <v>2831</v>
      </c>
      <c r="S87" s="1360" t="s">
        <v>3007</v>
      </c>
      <c r="T87" s="1360" t="s">
        <v>3008</v>
      </c>
      <c r="U87" s="1361"/>
    </row>
    <row r="88" spans="1:21" s="337" customFormat="1" ht="276">
      <c r="A88" s="1344">
        <v>34</v>
      </c>
      <c r="B88" s="1345" t="s">
        <v>3009</v>
      </c>
      <c r="C88" s="1346" t="s">
        <v>3010</v>
      </c>
      <c r="D88" s="1347">
        <v>160000000</v>
      </c>
      <c r="E88" s="1348" t="s">
        <v>3011</v>
      </c>
      <c r="F88" s="1349" t="s">
        <v>37</v>
      </c>
      <c r="G88" s="1350" t="s">
        <v>3012</v>
      </c>
      <c r="H88" s="1351">
        <v>36984348</v>
      </c>
      <c r="I88" s="1352" t="s">
        <v>2794</v>
      </c>
      <c r="J88" s="1353">
        <v>42124</v>
      </c>
      <c r="K88" s="1354" t="s">
        <v>2786</v>
      </c>
      <c r="L88" s="1354"/>
      <c r="M88" s="1380" t="s">
        <v>853</v>
      </c>
      <c r="N88" s="1356">
        <v>36984348</v>
      </c>
      <c r="O88" s="1381">
        <v>1</v>
      </c>
      <c r="P88" s="1327" t="s">
        <v>3013</v>
      </c>
      <c r="Q88" s="1382" t="s">
        <v>3014</v>
      </c>
      <c r="R88" s="1344" t="s">
        <v>2876</v>
      </c>
      <c r="S88" s="1366">
        <v>42143</v>
      </c>
      <c r="T88" s="1366" t="s">
        <v>3015</v>
      </c>
      <c r="U88" s="1377">
        <v>42165</v>
      </c>
    </row>
    <row r="89" spans="1:21" s="337" customFormat="1" ht="264">
      <c r="A89" s="1344">
        <v>33</v>
      </c>
      <c r="B89" s="1345" t="s">
        <v>3009</v>
      </c>
      <c r="C89" s="1346" t="s">
        <v>3010</v>
      </c>
      <c r="D89" s="1347">
        <v>160000000</v>
      </c>
      <c r="E89" s="1348" t="s">
        <v>3016</v>
      </c>
      <c r="F89" s="1349" t="s">
        <v>37</v>
      </c>
      <c r="G89" s="1350" t="s">
        <v>3017</v>
      </c>
      <c r="H89" s="1351">
        <v>34221340</v>
      </c>
      <c r="I89" s="1352" t="s">
        <v>2794</v>
      </c>
      <c r="J89" s="1353">
        <v>42124</v>
      </c>
      <c r="K89" s="1354" t="s">
        <v>2786</v>
      </c>
      <c r="L89" s="1354"/>
      <c r="M89" s="1355" t="s">
        <v>885</v>
      </c>
      <c r="N89" s="1356">
        <v>34221340</v>
      </c>
      <c r="O89" s="1383">
        <v>1</v>
      </c>
      <c r="P89" s="1327" t="s">
        <v>3013</v>
      </c>
      <c r="Q89" s="1382" t="s">
        <v>3014</v>
      </c>
      <c r="R89" s="1344" t="s">
        <v>2876</v>
      </c>
      <c r="S89" s="1366">
        <v>42142</v>
      </c>
      <c r="T89" s="1366">
        <v>42143</v>
      </c>
      <c r="U89" s="1377">
        <v>42165</v>
      </c>
    </row>
    <row r="90" spans="1:21" s="337" customFormat="1" ht="276">
      <c r="A90" s="1344"/>
      <c r="B90" s="1345" t="s">
        <v>3009</v>
      </c>
      <c r="C90" s="1346" t="s">
        <v>3010</v>
      </c>
      <c r="D90" s="1347">
        <v>160000000</v>
      </c>
      <c r="E90" s="1348" t="s">
        <v>3011</v>
      </c>
      <c r="F90" s="1349" t="s">
        <v>37</v>
      </c>
      <c r="G90" s="1350" t="s">
        <v>3012</v>
      </c>
      <c r="H90" s="1351">
        <v>36026532</v>
      </c>
      <c r="I90" s="1352" t="s">
        <v>858</v>
      </c>
      <c r="J90" s="1353">
        <v>42187</v>
      </c>
      <c r="K90" s="1354"/>
      <c r="L90" s="1354"/>
      <c r="M90" s="1355" t="s">
        <v>858</v>
      </c>
      <c r="N90" s="1351">
        <v>36026532</v>
      </c>
      <c r="O90" s="1383">
        <v>1</v>
      </c>
      <c r="P90" s="1327" t="s">
        <v>3013</v>
      </c>
      <c r="Q90" s="1382" t="s">
        <v>3014</v>
      </c>
      <c r="R90" s="1344" t="s">
        <v>2876</v>
      </c>
      <c r="S90" s="1366" t="s">
        <v>3018</v>
      </c>
      <c r="T90" s="1366" t="s">
        <v>3019</v>
      </c>
      <c r="U90" s="1377"/>
    </row>
    <row r="91" spans="1:21" s="337" customFormat="1" ht="27.75" customHeight="1">
      <c r="A91" s="1344">
        <v>129</v>
      </c>
      <c r="B91" s="1345" t="s">
        <v>3020</v>
      </c>
      <c r="C91" s="1346" t="s">
        <v>86</v>
      </c>
      <c r="D91" s="1347">
        <v>50000000</v>
      </c>
      <c r="E91" s="1348" t="s">
        <v>105</v>
      </c>
      <c r="F91" s="1349" t="s">
        <v>37</v>
      </c>
      <c r="G91" s="1363" t="s">
        <v>3021</v>
      </c>
      <c r="H91" s="1351">
        <v>49728423</v>
      </c>
      <c r="I91" s="1352" t="s">
        <v>2846</v>
      </c>
      <c r="J91" s="1353">
        <v>42274</v>
      </c>
      <c r="K91" s="1354" t="s">
        <v>2786</v>
      </c>
      <c r="L91" s="1354"/>
      <c r="M91" s="1355" t="s">
        <v>2857</v>
      </c>
      <c r="N91" s="1351">
        <v>49728423</v>
      </c>
      <c r="O91" s="1357">
        <v>0.3</v>
      </c>
      <c r="P91" s="1358" t="s">
        <v>2806</v>
      </c>
      <c r="Q91" s="1364" t="s">
        <v>1845</v>
      </c>
      <c r="R91" s="1344" t="s">
        <v>2876</v>
      </c>
      <c r="S91" s="1360"/>
      <c r="T91" s="1360"/>
      <c r="U91" s="1361"/>
    </row>
    <row r="92" spans="1:21" s="337" customFormat="1" ht="168">
      <c r="A92" s="1344">
        <v>127</v>
      </c>
      <c r="B92" s="1345" t="s">
        <v>3022</v>
      </c>
      <c r="C92" s="1346" t="s">
        <v>95</v>
      </c>
      <c r="D92" s="1347">
        <v>73105958</v>
      </c>
      <c r="E92" s="1348" t="s">
        <v>105</v>
      </c>
      <c r="F92" s="1349" t="s">
        <v>37</v>
      </c>
      <c r="G92" s="1350" t="s">
        <v>3023</v>
      </c>
      <c r="H92" s="1351">
        <v>58614700</v>
      </c>
      <c r="I92" s="1352" t="s">
        <v>2846</v>
      </c>
      <c r="J92" s="1353">
        <v>42274</v>
      </c>
      <c r="K92" s="1354" t="s">
        <v>2786</v>
      </c>
      <c r="L92" s="1354"/>
      <c r="M92" s="1355" t="s">
        <v>2803</v>
      </c>
      <c r="N92" s="1356">
        <f t="shared" ref="N92:N111" si="1">H92</f>
        <v>58614700</v>
      </c>
      <c r="O92" s="1357">
        <v>0.9</v>
      </c>
      <c r="P92" s="1358" t="s">
        <v>2901</v>
      </c>
      <c r="Q92" s="1373" t="s">
        <v>2902</v>
      </c>
      <c r="R92" s="1344" t="s">
        <v>2807</v>
      </c>
      <c r="S92" s="1360"/>
      <c r="T92" s="1360"/>
      <c r="U92" s="1361"/>
    </row>
    <row r="93" spans="1:21" s="337" customFormat="1" ht="132">
      <c r="A93" s="1344">
        <v>40</v>
      </c>
      <c r="B93" s="1345" t="s">
        <v>3022</v>
      </c>
      <c r="C93" s="1346" t="s">
        <v>95</v>
      </c>
      <c r="D93" s="1347">
        <v>73105958</v>
      </c>
      <c r="E93" s="1348" t="s">
        <v>2822</v>
      </c>
      <c r="F93" s="1349" t="s">
        <v>37</v>
      </c>
      <c r="G93" s="1350" t="s">
        <v>3024</v>
      </c>
      <c r="H93" s="1351">
        <v>9030126</v>
      </c>
      <c r="I93" s="1352" t="s">
        <v>2794</v>
      </c>
      <c r="J93" s="1353">
        <v>42152</v>
      </c>
      <c r="K93" s="1354" t="s">
        <v>2786</v>
      </c>
      <c r="L93" s="1354"/>
      <c r="M93" s="1355" t="s">
        <v>2803</v>
      </c>
      <c r="N93" s="1356">
        <f t="shared" si="1"/>
        <v>9030126</v>
      </c>
      <c r="O93" s="1357">
        <v>0.9</v>
      </c>
      <c r="P93" s="1327" t="s">
        <v>2901</v>
      </c>
      <c r="Q93" s="1373" t="s">
        <v>2902</v>
      </c>
      <c r="R93" s="1344" t="s">
        <v>2831</v>
      </c>
      <c r="S93" s="1360"/>
      <c r="T93" s="1360"/>
      <c r="U93" s="1361"/>
    </row>
    <row r="94" spans="1:21" s="337" customFormat="1" ht="60">
      <c r="A94" s="1344">
        <v>46</v>
      </c>
      <c r="B94" s="1345" t="s">
        <v>3025</v>
      </c>
      <c r="C94" s="1346" t="s">
        <v>157</v>
      </c>
      <c r="D94" s="1347">
        <v>15824000</v>
      </c>
      <c r="E94" s="1348" t="s">
        <v>105</v>
      </c>
      <c r="F94" s="1349" t="s">
        <v>37</v>
      </c>
      <c r="G94" s="1363" t="s">
        <v>3026</v>
      </c>
      <c r="H94" s="1351">
        <v>15760316</v>
      </c>
      <c r="I94" s="1352" t="s">
        <v>2830</v>
      </c>
      <c r="J94" s="1353">
        <v>42159</v>
      </c>
      <c r="K94" s="1354" t="s">
        <v>2786</v>
      </c>
      <c r="L94" s="1354"/>
      <c r="M94" s="1355" t="s">
        <v>2795</v>
      </c>
      <c r="N94" s="1356">
        <f t="shared" si="1"/>
        <v>15760316</v>
      </c>
      <c r="O94" s="1357">
        <v>1</v>
      </c>
      <c r="P94" s="1327" t="s">
        <v>2788</v>
      </c>
      <c r="Q94" s="1359" t="s">
        <v>2789</v>
      </c>
      <c r="R94" s="1344" t="s">
        <v>2927</v>
      </c>
      <c r="S94" s="1366">
        <v>42194</v>
      </c>
      <c r="T94" s="1366" t="s">
        <v>3027</v>
      </c>
      <c r="U94" s="1361" t="s">
        <v>2904</v>
      </c>
    </row>
    <row r="95" spans="1:21" s="337" customFormat="1" ht="120">
      <c r="A95" s="1344">
        <v>12</v>
      </c>
      <c r="B95" s="1345" t="s">
        <v>2959</v>
      </c>
      <c r="C95" s="1346" t="s">
        <v>151</v>
      </c>
      <c r="D95" s="1347">
        <v>290126708</v>
      </c>
      <c r="E95" s="1348" t="s">
        <v>105</v>
      </c>
      <c r="F95" s="1349" t="s">
        <v>37</v>
      </c>
      <c r="G95" s="1350" t="s">
        <v>3028</v>
      </c>
      <c r="H95" s="1347">
        <v>64433744</v>
      </c>
      <c r="I95" s="1352" t="s">
        <v>2866</v>
      </c>
      <c r="J95" s="1353">
        <v>42110</v>
      </c>
      <c r="K95" s="1354" t="s">
        <v>2786</v>
      </c>
      <c r="L95" s="1354"/>
      <c r="M95" s="1355" t="s">
        <v>885</v>
      </c>
      <c r="N95" s="1356">
        <f t="shared" si="1"/>
        <v>64433744</v>
      </c>
      <c r="O95" s="1357">
        <v>1</v>
      </c>
      <c r="P95" s="742" t="s">
        <v>2788</v>
      </c>
      <c r="Q95" s="1359" t="s">
        <v>2789</v>
      </c>
      <c r="R95" s="1362" t="s">
        <v>2847</v>
      </c>
      <c r="S95" s="1366">
        <v>42125</v>
      </c>
      <c r="T95" s="1366" t="s">
        <v>3029</v>
      </c>
      <c r="U95" s="1377">
        <v>42174</v>
      </c>
    </row>
    <row r="96" spans="1:21" ht="31.5" customHeight="1">
      <c r="A96" s="1344">
        <v>80</v>
      </c>
      <c r="B96" s="1345" t="s">
        <v>977</v>
      </c>
      <c r="C96" s="1346" t="s">
        <v>152</v>
      </c>
      <c r="D96" s="1347">
        <v>209433708</v>
      </c>
      <c r="E96" s="1348" t="s">
        <v>105</v>
      </c>
      <c r="F96" s="1349" t="s">
        <v>37</v>
      </c>
      <c r="G96" s="1363" t="s">
        <v>3030</v>
      </c>
      <c r="H96" s="1351">
        <v>64433708</v>
      </c>
      <c r="I96" s="1352" t="s">
        <v>2795</v>
      </c>
      <c r="J96" s="1353">
        <v>42212</v>
      </c>
      <c r="K96" s="1354" t="s">
        <v>2786</v>
      </c>
      <c r="L96" s="1354"/>
      <c r="M96" s="1355" t="s">
        <v>2803</v>
      </c>
      <c r="N96" s="1356">
        <f t="shared" si="1"/>
        <v>64433708</v>
      </c>
      <c r="O96" s="1357">
        <v>0.3</v>
      </c>
      <c r="P96" s="1327" t="s">
        <v>2788</v>
      </c>
      <c r="Q96" s="1359" t="s">
        <v>2789</v>
      </c>
      <c r="R96" s="1344" t="s">
        <v>2831</v>
      </c>
      <c r="S96" s="1360"/>
      <c r="T96" s="1360"/>
      <c r="U96" s="1361"/>
    </row>
    <row r="97" spans="1:21" ht="49.5" customHeight="1">
      <c r="A97" s="1344">
        <v>5</v>
      </c>
      <c r="B97" s="1345" t="s">
        <v>2959</v>
      </c>
      <c r="C97" s="1346" t="s">
        <v>151</v>
      </c>
      <c r="D97" s="1347">
        <v>290126708</v>
      </c>
      <c r="E97" s="1348" t="s">
        <v>105</v>
      </c>
      <c r="F97" s="1349" t="s">
        <v>37</v>
      </c>
      <c r="G97" s="1350" t="s">
        <v>3031</v>
      </c>
      <c r="H97" s="1347">
        <v>64422664</v>
      </c>
      <c r="I97" s="1352" t="s">
        <v>2866</v>
      </c>
      <c r="J97" s="1353">
        <v>42101</v>
      </c>
      <c r="K97" s="1354" t="s">
        <v>2786</v>
      </c>
      <c r="L97" s="1354"/>
      <c r="M97" s="1355" t="s">
        <v>2803</v>
      </c>
      <c r="N97" s="1356">
        <f t="shared" si="1"/>
        <v>64422664</v>
      </c>
      <c r="O97" s="1357">
        <v>0.45</v>
      </c>
      <c r="P97" s="742" t="s">
        <v>2788</v>
      </c>
      <c r="Q97" s="1359" t="s">
        <v>2789</v>
      </c>
      <c r="R97" s="1362" t="s">
        <v>2912</v>
      </c>
      <c r="S97" s="1360" t="s">
        <v>3032</v>
      </c>
      <c r="T97" s="1360" t="s">
        <v>3033</v>
      </c>
      <c r="U97" s="1361"/>
    </row>
    <row r="98" spans="1:21" ht="49.5" customHeight="1">
      <c r="A98" s="1344">
        <v>1</v>
      </c>
      <c r="B98" s="1345" t="s">
        <v>977</v>
      </c>
      <c r="C98" s="1346" t="s">
        <v>152</v>
      </c>
      <c r="D98" s="1347">
        <v>209433708</v>
      </c>
      <c r="E98" s="1348" t="s">
        <v>105</v>
      </c>
      <c r="F98" s="1349" t="s">
        <v>37</v>
      </c>
      <c r="G98" s="1350" t="s">
        <v>3034</v>
      </c>
      <c r="H98" s="1347">
        <v>64360416</v>
      </c>
      <c r="I98" s="1352" t="s">
        <v>3035</v>
      </c>
      <c r="J98" s="1353">
        <v>42101</v>
      </c>
      <c r="K98" s="1354" t="s">
        <v>2786</v>
      </c>
      <c r="L98" s="1354"/>
      <c r="M98" s="1355" t="s">
        <v>2787</v>
      </c>
      <c r="N98" s="1356">
        <f t="shared" si="1"/>
        <v>64360416</v>
      </c>
      <c r="O98" s="1357">
        <v>1</v>
      </c>
      <c r="P98" s="742" t="s">
        <v>2788</v>
      </c>
      <c r="Q98" s="1359" t="s">
        <v>2789</v>
      </c>
      <c r="R98" s="1362" t="s">
        <v>2918</v>
      </c>
      <c r="S98" s="1384" t="s">
        <v>3036</v>
      </c>
      <c r="T98" s="1384" t="s">
        <v>3037</v>
      </c>
      <c r="U98" s="1361"/>
    </row>
    <row r="99" spans="1:21" ht="31.5" customHeight="1">
      <c r="A99" s="1344">
        <v>3</v>
      </c>
      <c r="B99" s="1345" t="s">
        <v>2959</v>
      </c>
      <c r="C99" s="1346" t="s">
        <v>151</v>
      </c>
      <c r="D99" s="1347">
        <v>290126708</v>
      </c>
      <c r="E99" s="1348" t="s">
        <v>2931</v>
      </c>
      <c r="F99" s="1349" t="s">
        <v>37</v>
      </c>
      <c r="G99" s="1350" t="s">
        <v>3038</v>
      </c>
      <c r="H99" s="1347">
        <v>62950800</v>
      </c>
      <c r="I99" s="1352" t="s">
        <v>3035</v>
      </c>
      <c r="J99" s="1353">
        <v>42101</v>
      </c>
      <c r="K99" s="1354" t="s">
        <v>2786</v>
      </c>
      <c r="L99" s="1354"/>
      <c r="M99" s="1355" t="s">
        <v>2795</v>
      </c>
      <c r="N99" s="1356">
        <f>H99</f>
        <v>62950800</v>
      </c>
      <c r="O99" s="1357">
        <v>1</v>
      </c>
      <c r="P99" s="742" t="s">
        <v>2788</v>
      </c>
      <c r="Q99" s="1359" t="s">
        <v>2789</v>
      </c>
      <c r="R99" s="1362" t="s">
        <v>2912</v>
      </c>
      <c r="S99" s="1360" t="s">
        <v>3039</v>
      </c>
      <c r="T99" s="1360" t="s">
        <v>3040</v>
      </c>
      <c r="U99" s="1361"/>
    </row>
    <row r="100" spans="1:21" ht="36.75" customHeight="1">
      <c r="A100" s="1344">
        <v>2</v>
      </c>
      <c r="B100" s="1345" t="s">
        <v>977</v>
      </c>
      <c r="C100" s="1346" t="s">
        <v>152</v>
      </c>
      <c r="D100" s="1347">
        <v>209433708</v>
      </c>
      <c r="E100" s="1348" t="s">
        <v>2931</v>
      </c>
      <c r="F100" s="1349" t="s">
        <v>37</v>
      </c>
      <c r="G100" s="1350" t="s">
        <v>3041</v>
      </c>
      <c r="H100" s="1347">
        <v>58406696</v>
      </c>
      <c r="I100" s="1352" t="s">
        <v>3035</v>
      </c>
      <c r="J100" s="1353">
        <v>42101</v>
      </c>
      <c r="K100" s="1354" t="s">
        <v>2786</v>
      </c>
      <c r="L100" s="1354"/>
      <c r="M100" s="1355" t="s">
        <v>2787</v>
      </c>
      <c r="N100" s="1356">
        <f t="shared" si="1"/>
        <v>58406696</v>
      </c>
      <c r="O100" s="1357">
        <v>0.35</v>
      </c>
      <c r="P100" s="742" t="s">
        <v>2788</v>
      </c>
      <c r="Q100" s="1359" t="s">
        <v>2789</v>
      </c>
      <c r="R100" s="1362" t="s">
        <v>2918</v>
      </c>
      <c r="S100" s="1360" t="s">
        <v>3042</v>
      </c>
      <c r="T100" s="1360" t="s">
        <v>3043</v>
      </c>
      <c r="U100" s="1361"/>
    </row>
    <row r="101" spans="1:21" ht="36.75" customHeight="1">
      <c r="A101" s="1344">
        <v>76</v>
      </c>
      <c r="B101" s="1345" t="s">
        <v>3044</v>
      </c>
      <c r="C101" s="1346" t="s">
        <v>150</v>
      </c>
      <c r="D101" s="1347">
        <v>64445383</v>
      </c>
      <c r="E101" s="1348" t="s">
        <v>105</v>
      </c>
      <c r="F101" s="1349" t="s">
        <v>37</v>
      </c>
      <c r="G101" s="1363" t="s">
        <v>3045</v>
      </c>
      <c r="H101" s="1351">
        <v>44995866</v>
      </c>
      <c r="I101" s="1352" t="s">
        <v>2802</v>
      </c>
      <c r="J101" s="1353">
        <v>42212</v>
      </c>
      <c r="K101" s="1354" t="s">
        <v>2786</v>
      </c>
      <c r="L101" s="1354"/>
      <c r="M101" s="1355" t="s">
        <v>2803</v>
      </c>
      <c r="N101" s="1356">
        <f t="shared" si="1"/>
        <v>44995866</v>
      </c>
      <c r="O101" s="1357">
        <v>0.7</v>
      </c>
      <c r="P101" s="1327" t="s">
        <v>2788</v>
      </c>
      <c r="Q101" s="1359" t="s">
        <v>2789</v>
      </c>
      <c r="R101" s="1344" t="s">
        <v>2867</v>
      </c>
      <c r="S101" s="1360"/>
      <c r="T101" s="1360"/>
      <c r="U101" s="1361"/>
    </row>
    <row r="102" spans="1:21" ht="33.75" customHeight="1">
      <c r="A102" s="1344">
        <v>4</v>
      </c>
      <c r="B102" s="1345" t="s">
        <v>2959</v>
      </c>
      <c r="C102" s="1346" t="s">
        <v>151</v>
      </c>
      <c r="D102" s="1347">
        <v>290126708</v>
      </c>
      <c r="E102" s="1348" t="s">
        <v>2810</v>
      </c>
      <c r="F102" s="1349" t="s">
        <v>37</v>
      </c>
      <c r="G102" s="1350" t="s">
        <v>3046</v>
      </c>
      <c r="H102" s="1347">
        <v>33885000</v>
      </c>
      <c r="I102" s="1352" t="s">
        <v>3035</v>
      </c>
      <c r="J102" s="1353">
        <v>42101</v>
      </c>
      <c r="K102" s="1354" t="s">
        <v>2786</v>
      </c>
      <c r="L102" s="1354"/>
      <c r="M102" s="1355" t="s">
        <v>2795</v>
      </c>
      <c r="N102" s="1356">
        <f t="shared" si="1"/>
        <v>33885000</v>
      </c>
      <c r="O102" s="1357">
        <v>1</v>
      </c>
      <c r="P102" s="742" t="s">
        <v>2788</v>
      </c>
      <c r="Q102" s="1359" t="s">
        <v>2789</v>
      </c>
      <c r="R102" s="1362" t="s">
        <v>2912</v>
      </c>
      <c r="S102" s="1385" t="s">
        <v>3047</v>
      </c>
      <c r="T102" s="1360" t="s">
        <v>3048</v>
      </c>
      <c r="U102" s="1361"/>
    </row>
    <row r="103" spans="1:21" ht="31.5" customHeight="1">
      <c r="A103" s="1344">
        <v>104</v>
      </c>
      <c r="B103" s="1345" t="s">
        <v>3049</v>
      </c>
      <c r="C103" s="1346" t="s">
        <v>92</v>
      </c>
      <c r="D103" s="1347">
        <v>35828660</v>
      </c>
      <c r="E103" s="1348" t="s">
        <v>105</v>
      </c>
      <c r="F103" s="1349" t="s">
        <v>37</v>
      </c>
      <c r="G103" s="1363" t="s">
        <v>3050</v>
      </c>
      <c r="H103" s="1351">
        <v>14726370</v>
      </c>
      <c r="I103" s="1352" t="s">
        <v>2795</v>
      </c>
      <c r="J103" s="1353">
        <v>42233</v>
      </c>
      <c r="K103" s="1354" t="s">
        <v>2786</v>
      </c>
      <c r="L103" s="1354"/>
      <c r="M103" s="1355" t="s">
        <v>2857</v>
      </c>
      <c r="N103" s="1356">
        <f t="shared" si="1"/>
        <v>14726370</v>
      </c>
      <c r="O103" s="1357">
        <v>0.4</v>
      </c>
      <c r="P103" s="1358" t="s">
        <v>3051</v>
      </c>
      <c r="Q103" s="1386" t="s">
        <v>3052</v>
      </c>
      <c r="R103" s="1344" t="s">
        <v>2847</v>
      </c>
      <c r="S103" s="1360"/>
      <c r="T103" s="1360"/>
      <c r="U103" s="1361"/>
    </row>
    <row r="104" spans="1:21" s="337" customFormat="1" ht="57" customHeight="1">
      <c r="A104" s="1344">
        <v>70</v>
      </c>
      <c r="B104" s="1345" t="s">
        <v>3053</v>
      </c>
      <c r="C104" s="1346" t="s">
        <v>1143</v>
      </c>
      <c r="D104" s="1347">
        <v>28464712</v>
      </c>
      <c r="E104" s="1348" t="s">
        <v>105</v>
      </c>
      <c r="F104" s="1349" t="s">
        <v>37</v>
      </c>
      <c r="G104" s="1363" t="s">
        <v>3054</v>
      </c>
      <c r="H104" s="1351">
        <v>28464711</v>
      </c>
      <c r="I104" s="1352" t="s">
        <v>2802</v>
      </c>
      <c r="J104" s="1353">
        <v>42199</v>
      </c>
      <c r="K104" s="1354" t="s">
        <v>2786</v>
      </c>
      <c r="L104" s="1354"/>
      <c r="M104" s="1355" t="s">
        <v>2803</v>
      </c>
      <c r="N104" s="1356">
        <f t="shared" si="1"/>
        <v>28464711</v>
      </c>
      <c r="O104" s="1357">
        <v>0.7</v>
      </c>
      <c r="P104" s="1358" t="s">
        <v>2901</v>
      </c>
      <c r="Q104" s="1379" t="s">
        <v>2997</v>
      </c>
      <c r="R104" s="1344" t="s">
        <v>2847</v>
      </c>
      <c r="S104" s="1360"/>
      <c r="T104" s="1360"/>
      <c r="U104" s="1361"/>
    </row>
    <row r="105" spans="1:21" ht="34.5" customHeight="1">
      <c r="A105" s="1344">
        <v>32</v>
      </c>
      <c r="B105" s="1345" t="s">
        <v>3055</v>
      </c>
      <c r="C105" s="1346" t="s">
        <v>1144</v>
      </c>
      <c r="D105" s="1347">
        <v>29534326</v>
      </c>
      <c r="E105" s="1348" t="s">
        <v>2938</v>
      </c>
      <c r="F105" s="1349" t="s">
        <v>37</v>
      </c>
      <c r="G105" s="1350" t="s">
        <v>3056</v>
      </c>
      <c r="H105" s="1351">
        <v>12044849</v>
      </c>
      <c r="I105" s="1352" t="s">
        <v>2794</v>
      </c>
      <c r="J105" s="1353">
        <v>42132</v>
      </c>
      <c r="K105" s="1354" t="s">
        <v>2786</v>
      </c>
      <c r="L105" s="1354"/>
      <c r="M105" s="1355" t="s">
        <v>861</v>
      </c>
      <c r="N105" s="1356">
        <f t="shared" si="1"/>
        <v>12044849</v>
      </c>
      <c r="O105" s="1357">
        <v>1</v>
      </c>
      <c r="P105" s="1327" t="s">
        <v>2901</v>
      </c>
      <c r="Q105" s="1379" t="s">
        <v>2997</v>
      </c>
      <c r="R105" s="1344" t="s">
        <v>2847</v>
      </c>
      <c r="S105" s="1366">
        <v>42167</v>
      </c>
      <c r="T105" s="1366" t="s">
        <v>3057</v>
      </c>
      <c r="U105" s="1361" t="s">
        <v>2904</v>
      </c>
    </row>
    <row r="106" spans="1:21" ht="46.5" customHeight="1">
      <c r="A106" s="1344">
        <v>103</v>
      </c>
      <c r="B106" s="1345" t="s">
        <v>3058</v>
      </c>
      <c r="C106" s="1346" t="s">
        <v>97</v>
      </c>
      <c r="D106" s="1347">
        <v>8000000</v>
      </c>
      <c r="E106" s="1348" t="s">
        <v>105</v>
      </c>
      <c r="F106" s="1349" t="s">
        <v>37</v>
      </c>
      <c r="G106" s="1363" t="s">
        <v>3059</v>
      </c>
      <c r="H106" s="1351">
        <v>7999872</v>
      </c>
      <c r="I106" s="1352" t="s">
        <v>2795</v>
      </c>
      <c r="J106" s="1353">
        <v>42226</v>
      </c>
      <c r="K106" s="1354" t="s">
        <v>2786</v>
      </c>
      <c r="L106" s="1354"/>
      <c r="M106" s="1355" t="s">
        <v>2803</v>
      </c>
      <c r="N106" s="1356">
        <f t="shared" si="1"/>
        <v>7999872</v>
      </c>
      <c r="O106" s="1357">
        <v>0.9</v>
      </c>
      <c r="P106" s="1358" t="s">
        <v>2901</v>
      </c>
      <c r="Q106" s="1379" t="s">
        <v>2997</v>
      </c>
      <c r="R106" s="1344" t="s">
        <v>2876</v>
      </c>
      <c r="S106" s="1360"/>
      <c r="T106" s="1360"/>
      <c r="U106" s="1361"/>
    </row>
    <row r="107" spans="1:21" s="337" customFormat="1" ht="60">
      <c r="A107" s="1344">
        <v>110</v>
      </c>
      <c r="B107" s="1345" t="s">
        <v>3055</v>
      </c>
      <c r="C107" s="1346" t="s">
        <v>1144</v>
      </c>
      <c r="D107" s="1347">
        <v>29534326</v>
      </c>
      <c r="E107" s="1348" t="s">
        <v>2810</v>
      </c>
      <c r="F107" s="1349" t="s">
        <v>37</v>
      </c>
      <c r="G107" s="1350" t="s">
        <v>3060</v>
      </c>
      <c r="H107" s="1351">
        <v>7777465</v>
      </c>
      <c r="I107" s="1352" t="s">
        <v>2795</v>
      </c>
      <c r="J107" s="1353">
        <v>42241</v>
      </c>
      <c r="K107" s="1354" t="s">
        <v>2786</v>
      </c>
      <c r="L107" s="1354"/>
      <c r="M107" s="1355" t="s">
        <v>2803</v>
      </c>
      <c r="N107" s="1356">
        <f t="shared" si="1"/>
        <v>7777465</v>
      </c>
      <c r="O107" s="1357">
        <v>0.9</v>
      </c>
      <c r="P107" s="1358" t="s">
        <v>2901</v>
      </c>
      <c r="Q107" s="1379" t="s">
        <v>2997</v>
      </c>
      <c r="R107" s="1344" t="s">
        <v>2847</v>
      </c>
      <c r="S107" s="1360"/>
      <c r="T107" s="1360"/>
      <c r="U107" s="1361"/>
    </row>
    <row r="108" spans="1:21" ht="37.5" customHeight="1">
      <c r="A108" s="1344">
        <v>69</v>
      </c>
      <c r="B108" s="1345" t="s">
        <v>3061</v>
      </c>
      <c r="C108" s="1346" t="s">
        <v>182</v>
      </c>
      <c r="D108" s="1347">
        <v>3718842</v>
      </c>
      <c r="E108" s="1348" t="s">
        <v>105</v>
      </c>
      <c r="F108" s="1349" t="s">
        <v>37</v>
      </c>
      <c r="G108" s="1363" t="s">
        <v>3062</v>
      </c>
      <c r="H108" s="1351">
        <v>3718841</v>
      </c>
      <c r="I108" s="1352" t="s">
        <v>2802</v>
      </c>
      <c r="J108" s="1353">
        <v>42195</v>
      </c>
      <c r="K108" s="1354" t="s">
        <v>2786</v>
      </c>
      <c r="L108" s="1354"/>
      <c r="M108" s="1355" t="s">
        <v>2803</v>
      </c>
      <c r="N108" s="1356">
        <f t="shared" si="1"/>
        <v>3718841</v>
      </c>
      <c r="O108" s="1357">
        <v>1</v>
      </c>
      <c r="P108" s="1358" t="s">
        <v>2901</v>
      </c>
      <c r="Q108" s="1379" t="s">
        <v>2997</v>
      </c>
      <c r="R108" s="1344" t="s">
        <v>3063</v>
      </c>
      <c r="S108" s="1366">
        <v>42221</v>
      </c>
      <c r="T108" s="1366" t="s">
        <v>3064</v>
      </c>
      <c r="U108" s="1361" t="s">
        <v>2904</v>
      </c>
    </row>
    <row r="109" spans="1:21" ht="46.5" customHeight="1">
      <c r="A109" s="1344">
        <v>136</v>
      </c>
      <c r="B109" s="1345" t="s">
        <v>3055</v>
      </c>
      <c r="C109" s="1346" t="s">
        <v>1144</v>
      </c>
      <c r="D109" s="1347">
        <v>29534326</v>
      </c>
      <c r="E109" s="1348" t="s">
        <v>2792</v>
      </c>
      <c r="F109" s="1349" t="s">
        <v>37</v>
      </c>
      <c r="G109" s="1350" t="s">
        <v>3065</v>
      </c>
      <c r="H109" s="1387">
        <v>9661640</v>
      </c>
      <c r="I109" s="1352" t="s">
        <v>2846</v>
      </c>
      <c r="J109" s="1353">
        <v>42284</v>
      </c>
      <c r="K109" s="1354" t="s">
        <v>2786</v>
      </c>
      <c r="L109" s="1354"/>
      <c r="M109" s="1355" t="s">
        <v>2857</v>
      </c>
      <c r="N109" s="1356">
        <f t="shared" si="1"/>
        <v>9661640</v>
      </c>
      <c r="O109" s="1357">
        <v>0.3</v>
      </c>
      <c r="P109" s="1358" t="s">
        <v>2901</v>
      </c>
      <c r="Q109" s="1379" t="s">
        <v>2997</v>
      </c>
      <c r="R109" s="1344" t="s">
        <v>3066</v>
      </c>
      <c r="S109" s="1360"/>
      <c r="T109" s="1360"/>
      <c r="U109" s="1361"/>
    </row>
    <row r="110" spans="1:21" s="337" customFormat="1" ht="113.25" customHeight="1">
      <c r="A110" s="1344">
        <v>57</v>
      </c>
      <c r="B110" s="1345" t="s">
        <v>3067</v>
      </c>
      <c r="C110" s="1346" t="s">
        <v>98</v>
      </c>
      <c r="D110" s="1347">
        <v>4000000</v>
      </c>
      <c r="E110" s="1348" t="s">
        <v>105</v>
      </c>
      <c r="F110" s="1349" t="s">
        <v>37</v>
      </c>
      <c r="G110" s="1363" t="s">
        <v>3068</v>
      </c>
      <c r="H110" s="1351">
        <v>3997934</v>
      </c>
      <c r="I110" s="1352" t="s">
        <v>2802</v>
      </c>
      <c r="J110" s="1353">
        <v>42193</v>
      </c>
      <c r="K110" s="1354" t="s">
        <v>2786</v>
      </c>
      <c r="L110" s="1354"/>
      <c r="M110" s="1355" t="s">
        <v>2803</v>
      </c>
      <c r="N110" s="1356">
        <f t="shared" si="1"/>
        <v>3997934</v>
      </c>
      <c r="O110" s="1357">
        <v>1</v>
      </c>
      <c r="P110" s="1358" t="s">
        <v>2901</v>
      </c>
      <c r="Q110" s="1379" t="s">
        <v>2997</v>
      </c>
      <c r="R110" s="1344" t="s">
        <v>3063</v>
      </c>
      <c r="S110" s="1366">
        <v>42220</v>
      </c>
      <c r="T110" s="1366" t="s">
        <v>3069</v>
      </c>
      <c r="U110" s="1361" t="s">
        <v>2904</v>
      </c>
    </row>
    <row r="111" spans="1:21" ht="46.5" customHeight="1">
      <c r="A111" s="1344">
        <v>56</v>
      </c>
      <c r="B111" s="1345" t="s">
        <v>3070</v>
      </c>
      <c r="C111" s="1346" t="s">
        <v>99</v>
      </c>
      <c r="D111" s="1347">
        <v>3843835</v>
      </c>
      <c r="E111" s="1348" t="s">
        <v>105</v>
      </c>
      <c r="F111" s="1349" t="s">
        <v>37</v>
      </c>
      <c r="G111" s="1363" t="s">
        <v>3071</v>
      </c>
      <c r="H111" s="1351">
        <v>3843834</v>
      </c>
      <c r="I111" s="1352" t="s">
        <v>2802</v>
      </c>
      <c r="J111" s="1353">
        <v>42192</v>
      </c>
      <c r="K111" s="1354" t="s">
        <v>2786</v>
      </c>
      <c r="L111" s="1354"/>
      <c r="M111" s="1355" t="s">
        <v>2803</v>
      </c>
      <c r="N111" s="1356">
        <f t="shared" si="1"/>
        <v>3843834</v>
      </c>
      <c r="O111" s="1357">
        <v>1</v>
      </c>
      <c r="P111" s="1358" t="s">
        <v>2901</v>
      </c>
      <c r="Q111" s="1379" t="s">
        <v>2997</v>
      </c>
      <c r="R111" s="1344" t="s">
        <v>3063</v>
      </c>
      <c r="S111" s="1366">
        <v>42220</v>
      </c>
      <c r="T111" s="1366" t="s">
        <v>3072</v>
      </c>
      <c r="U111" s="1361" t="s">
        <v>2904</v>
      </c>
    </row>
    <row r="112" spans="1:21" s="337" customFormat="1" ht="95.25" customHeight="1">
      <c r="A112" s="1344">
        <v>44</v>
      </c>
      <c r="B112" s="1388" t="s">
        <v>3073</v>
      </c>
      <c r="C112" s="1346" t="s">
        <v>183</v>
      </c>
      <c r="D112" s="1347">
        <v>63000000</v>
      </c>
      <c r="E112" s="1389" t="s">
        <v>3074</v>
      </c>
      <c r="F112" s="1349" t="s">
        <v>37</v>
      </c>
      <c r="G112" s="1363" t="s">
        <v>3075</v>
      </c>
      <c r="H112" s="1351">
        <v>60240000</v>
      </c>
      <c r="I112" s="1352" t="s">
        <v>2830</v>
      </c>
      <c r="J112" s="1353">
        <v>42157</v>
      </c>
      <c r="K112" s="1354" t="s">
        <v>2786</v>
      </c>
      <c r="L112" s="1354"/>
      <c r="M112" s="1355" t="s">
        <v>2857</v>
      </c>
      <c r="N112" s="1351">
        <v>60240000</v>
      </c>
      <c r="O112" s="1357">
        <v>0.5</v>
      </c>
      <c r="P112" s="1327" t="s">
        <v>3013</v>
      </c>
      <c r="Q112" s="1382" t="s">
        <v>3014</v>
      </c>
      <c r="R112" s="1344" t="s">
        <v>2831</v>
      </c>
      <c r="S112" s="1390" t="s">
        <v>3076</v>
      </c>
      <c r="T112" s="1390" t="s">
        <v>3077</v>
      </c>
      <c r="U112" s="1361"/>
    </row>
    <row r="113" spans="1:21" ht="29.25" customHeight="1">
      <c r="A113" s="1344">
        <v>53</v>
      </c>
      <c r="B113" s="1391" t="s">
        <v>2849</v>
      </c>
      <c r="C113" s="1346" t="s">
        <v>221</v>
      </c>
      <c r="D113" s="1347">
        <v>367100000</v>
      </c>
      <c r="E113" s="1348" t="s">
        <v>2810</v>
      </c>
      <c r="F113" s="1349" t="s">
        <v>37</v>
      </c>
      <c r="G113" s="1350" t="s">
        <v>3078</v>
      </c>
      <c r="H113" s="1351">
        <v>127181493</v>
      </c>
      <c r="I113" s="1352" t="s">
        <v>2830</v>
      </c>
      <c r="J113" s="1353">
        <v>42191</v>
      </c>
      <c r="K113" s="1354" t="s">
        <v>2786</v>
      </c>
      <c r="L113" s="1354"/>
      <c r="M113" s="1355" t="s">
        <v>2803</v>
      </c>
      <c r="N113" s="1356">
        <f>H113</f>
        <v>127181493</v>
      </c>
      <c r="O113" s="1357">
        <v>0.7</v>
      </c>
      <c r="P113" s="1358" t="s">
        <v>2842</v>
      </c>
      <c r="Q113" s="1368" t="s">
        <v>2843</v>
      </c>
      <c r="R113" s="1344" t="s">
        <v>2844</v>
      </c>
      <c r="S113" s="1360"/>
      <c r="T113" s="1360"/>
      <c r="U113" s="1361"/>
    </row>
    <row r="114" spans="1:21" ht="46.5" customHeight="1">
      <c r="A114" s="1344">
        <v>66</v>
      </c>
      <c r="B114" s="1391" t="s">
        <v>3079</v>
      </c>
      <c r="C114" s="1346" t="s">
        <v>84</v>
      </c>
      <c r="D114" s="1347">
        <v>40000000</v>
      </c>
      <c r="E114" s="1348" t="s">
        <v>2792</v>
      </c>
      <c r="F114" s="1349" t="s">
        <v>37</v>
      </c>
      <c r="G114" s="1350" t="s">
        <v>3080</v>
      </c>
      <c r="H114" s="1351">
        <v>4216800</v>
      </c>
      <c r="I114" s="1352" t="s">
        <v>2802</v>
      </c>
      <c r="J114" s="1353">
        <v>42195</v>
      </c>
      <c r="K114" s="1354" t="s">
        <v>2786</v>
      </c>
      <c r="L114" s="1354"/>
      <c r="M114" s="1355" t="s">
        <v>1190</v>
      </c>
      <c r="N114" s="1351">
        <v>4216800</v>
      </c>
      <c r="O114" s="1357">
        <v>1</v>
      </c>
      <c r="P114" s="1358" t="s">
        <v>2806</v>
      </c>
      <c r="Q114" s="1364" t="s">
        <v>1845</v>
      </c>
      <c r="R114" s="1344" t="s">
        <v>2876</v>
      </c>
      <c r="S114" s="1366">
        <v>42246</v>
      </c>
      <c r="T114" s="1366" t="s">
        <v>3081</v>
      </c>
      <c r="U114" s="1361"/>
    </row>
    <row r="115" spans="1:21" ht="51" customHeight="1">
      <c r="A115" s="1344">
        <v>67</v>
      </c>
      <c r="B115" s="1391" t="s">
        <v>2889</v>
      </c>
      <c r="C115" s="1346" t="s">
        <v>2890</v>
      </c>
      <c r="D115" s="1347">
        <v>112000000</v>
      </c>
      <c r="E115" s="1348" t="s">
        <v>105</v>
      </c>
      <c r="F115" s="1349" t="s">
        <v>37</v>
      </c>
      <c r="G115" s="1363" t="s">
        <v>3082</v>
      </c>
      <c r="H115" s="1351">
        <v>13824276</v>
      </c>
      <c r="I115" s="1352" t="s">
        <v>2802</v>
      </c>
      <c r="J115" s="1353">
        <v>42195</v>
      </c>
      <c r="K115" s="1354" t="s">
        <v>2786</v>
      </c>
      <c r="L115" s="1354"/>
      <c r="M115" s="1355" t="s">
        <v>1190</v>
      </c>
      <c r="N115" s="1351">
        <v>13824276</v>
      </c>
      <c r="O115" s="1357">
        <v>0.7</v>
      </c>
      <c r="P115" s="1358" t="s">
        <v>2806</v>
      </c>
      <c r="Q115" s="1364" t="s">
        <v>1845</v>
      </c>
      <c r="R115" s="1344" t="s">
        <v>2948</v>
      </c>
      <c r="S115" s="1360"/>
      <c r="T115" s="1360"/>
      <c r="U115" s="1361"/>
    </row>
    <row r="116" spans="1:21" ht="21" customHeight="1">
      <c r="A116" s="1344">
        <v>68</v>
      </c>
      <c r="B116" s="1392" t="s">
        <v>3083</v>
      </c>
      <c r="C116" s="1346" t="s">
        <v>93</v>
      </c>
      <c r="D116" s="1347">
        <v>25000000</v>
      </c>
      <c r="E116" s="1348" t="s">
        <v>105</v>
      </c>
      <c r="F116" s="1349" t="s">
        <v>37</v>
      </c>
      <c r="G116" s="1363" t="s">
        <v>3084</v>
      </c>
      <c r="H116" s="1351">
        <v>56747631</v>
      </c>
      <c r="I116" s="1352" t="s">
        <v>2802</v>
      </c>
      <c r="J116" s="1353">
        <v>42195</v>
      </c>
      <c r="K116" s="1354" t="s">
        <v>2786</v>
      </c>
      <c r="L116" s="1354"/>
      <c r="M116" s="1355" t="s">
        <v>2803</v>
      </c>
      <c r="N116" s="1356">
        <f t="shared" ref="N116:N125" si="2">H116</f>
        <v>56747631</v>
      </c>
      <c r="O116" s="1357">
        <v>1</v>
      </c>
      <c r="P116" s="1358" t="s">
        <v>2901</v>
      </c>
      <c r="Q116" s="1373" t="s">
        <v>2902</v>
      </c>
      <c r="R116" s="1344" t="s">
        <v>2847</v>
      </c>
      <c r="S116" s="1366">
        <v>42233</v>
      </c>
      <c r="T116" s="1366" t="s">
        <v>3085</v>
      </c>
      <c r="U116" s="1361" t="s">
        <v>2904</v>
      </c>
    </row>
    <row r="117" spans="1:21" s="337" customFormat="1" ht="84">
      <c r="A117" s="1344">
        <v>132</v>
      </c>
      <c r="B117" s="1392" t="s">
        <v>3086</v>
      </c>
      <c r="C117" s="1346" t="s">
        <v>850</v>
      </c>
      <c r="D117" s="1347">
        <v>64400000</v>
      </c>
      <c r="E117" s="1348" t="s">
        <v>3087</v>
      </c>
      <c r="F117" s="1349" t="s">
        <v>37</v>
      </c>
      <c r="G117" s="1363" t="s">
        <v>3088</v>
      </c>
      <c r="H117" s="1347">
        <v>96912351</v>
      </c>
      <c r="I117" s="1352" t="s">
        <v>2846</v>
      </c>
      <c r="J117" s="1393" t="s">
        <v>3089</v>
      </c>
      <c r="K117" s="1354" t="s">
        <v>2786</v>
      </c>
      <c r="L117" s="1354"/>
      <c r="M117" s="1355" t="s">
        <v>2787</v>
      </c>
      <c r="N117" s="1356">
        <f t="shared" si="2"/>
        <v>96912351</v>
      </c>
      <c r="O117" s="1394"/>
      <c r="P117" s="1358" t="s">
        <v>2842</v>
      </c>
      <c r="Q117" s="1368" t="s">
        <v>2843</v>
      </c>
      <c r="R117" s="1344" t="s">
        <v>2844</v>
      </c>
      <c r="S117" s="1360"/>
      <c r="T117" s="1360"/>
      <c r="U117" s="1361"/>
    </row>
    <row r="118" spans="1:21" ht="46.5" customHeight="1">
      <c r="A118" s="1344">
        <v>52</v>
      </c>
      <c r="B118" s="1392" t="s">
        <v>3090</v>
      </c>
      <c r="C118" s="1346" t="s">
        <v>850</v>
      </c>
      <c r="D118" s="1347">
        <v>64400000</v>
      </c>
      <c r="E118" s="1348" t="s">
        <v>2808</v>
      </c>
      <c r="F118" s="1349" t="s">
        <v>37</v>
      </c>
      <c r="G118" s="1350" t="s">
        <v>3091</v>
      </c>
      <c r="H118" s="1351">
        <v>128544063</v>
      </c>
      <c r="I118" s="1352" t="s">
        <v>2830</v>
      </c>
      <c r="J118" s="1353">
        <v>42191</v>
      </c>
      <c r="K118" s="1354" t="s">
        <v>2786</v>
      </c>
      <c r="L118" s="1354"/>
      <c r="M118" s="1355" t="s">
        <v>2803</v>
      </c>
      <c r="N118" s="1356">
        <f t="shared" si="2"/>
        <v>128544063</v>
      </c>
      <c r="O118" s="1357">
        <v>0.8</v>
      </c>
      <c r="P118" s="1358" t="s">
        <v>2842</v>
      </c>
      <c r="Q118" s="1368" t="s">
        <v>2843</v>
      </c>
      <c r="R118" s="1344" t="s">
        <v>2844</v>
      </c>
      <c r="S118" s="1360"/>
      <c r="T118" s="1360"/>
      <c r="U118" s="1361"/>
    </row>
    <row r="119" spans="1:21" ht="46.5" customHeight="1">
      <c r="A119" s="1344">
        <v>92</v>
      </c>
      <c r="B119" s="1392" t="s">
        <v>3092</v>
      </c>
      <c r="C119" s="1346" t="s">
        <v>884</v>
      </c>
      <c r="D119" s="1347">
        <v>266499998</v>
      </c>
      <c r="E119" s="1348" t="s">
        <v>2810</v>
      </c>
      <c r="F119" s="1349" t="s">
        <v>37</v>
      </c>
      <c r="G119" s="1350" t="s">
        <v>3093</v>
      </c>
      <c r="H119" s="1351">
        <v>106689777</v>
      </c>
      <c r="I119" s="1352" t="s">
        <v>2795</v>
      </c>
      <c r="J119" s="1353">
        <v>42244</v>
      </c>
      <c r="K119" s="1354" t="s">
        <v>2786</v>
      </c>
      <c r="L119" s="1354"/>
      <c r="M119" s="1355" t="s">
        <v>2803</v>
      </c>
      <c r="N119" s="1356">
        <f t="shared" si="2"/>
        <v>106689777</v>
      </c>
      <c r="O119" s="1357">
        <v>0.6</v>
      </c>
      <c r="P119" s="1358" t="s">
        <v>2842</v>
      </c>
      <c r="Q119" s="1368" t="s">
        <v>2843</v>
      </c>
      <c r="R119" s="1344" t="s">
        <v>2844</v>
      </c>
      <c r="S119" s="1360"/>
      <c r="T119" s="1360"/>
      <c r="U119" s="1361"/>
    </row>
    <row r="120" spans="1:21" s="337" customFormat="1" ht="87.75" customHeight="1">
      <c r="A120" s="1344">
        <v>125</v>
      </c>
      <c r="B120" s="1392" t="s">
        <v>3094</v>
      </c>
      <c r="C120" s="1346" t="s">
        <v>884</v>
      </c>
      <c r="D120" s="1347">
        <v>266499998</v>
      </c>
      <c r="E120" s="1348" t="s">
        <v>2792</v>
      </c>
      <c r="F120" s="1349" t="s">
        <v>37</v>
      </c>
      <c r="G120" s="1350" t="s">
        <v>3095</v>
      </c>
      <c r="H120" s="1395">
        <v>87121284</v>
      </c>
      <c r="I120" s="1352" t="s">
        <v>2785</v>
      </c>
      <c r="J120" s="1353">
        <v>42278</v>
      </c>
      <c r="K120" s="1354" t="s">
        <v>2786</v>
      </c>
      <c r="L120" s="1354"/>
      <c r="M120" s="1355" t="s">
        <v>2787</v>
      </c>
      <c r="N120" s="1356">
        <f t="shared" si="2"/>
        <v>87121284</v>
      </c>
      <c r="O120" s="1357">
        <v>0.2</v>
      </c>
      <c r="P120" s="1358" t="s">
        <v>2842</v>
      </c>
      <c r="Q120" s="1368" t="s">
        <v>2843</v>
      </c>
      <c r="R120" s="1344" t="s">
        <v>2844</v>
      </c>
      <c r="S120" s="1360"/>
      <c r="T120" s="1360"/>
      <c r="U120" s="1361"/>
    </row>
    <row r="121" spans="1:21" s="337" customFormat="1" ht="87.75" customHeight="1">
      <c r="A121" s="1344">
        <v>126</v>
      </c>
      <c r="B121" s="1392" t="s">
        <v>3094</v>
      </c>
      <c r="C121" s="1346" t="s">
        <v>884</v>
      </c>
      <c r="D121" s="1347">
        <v>266499998</v>
      </c>
      <c r="E121" s="1348" t="s">
        <v>2792</v>
      </c>
      <c r="F121" s="1349" t="s">
        <v>37</v>
      </c>
      <c r="G121" s="1350" t="s">
        <v>3096</v>
      </c>
      <c r="H121" s="1395">
        <v>64868302</v>
      </c>
      <c r="I121" s="1352" t="s">
        <v>2785</v>
      </c>
      <c r="J121" s="1353">
        <v>42278</v>
      </c>
      <c r="K121" s="1354" t="s">
        <v>2786</v>
      </c>
      <c r="L121" s="1354"/>
      <c r="M121" s="1355" t="s">
        <v>2787</v>
      </c>
      <c r="N121" s="1356">
        <f t="shared" si="2"/>
        <v>64868302</v>
      </c>
      <c r="O121" s="1357">
        <v>0.2</v>
      </c>
      <c r="P121" s="1358" t="s">
        <v>2842</v>
      </c>
      <c r="Q121" s="1368" t="s">
        <v>2843</v>
      </c>
      <c r="R121" s="1344" t="s">
        <v>2844</v>
      </c>
      <c r="S121" s="1360"/>
      <c r="T121" s="1360"/>
      <c r="U121" s="1361"/>
    </row>
    <row r="122" spans="1:21" s="337" customFormat="1" ht="87.75" customHeight="1">
      <c r="A122" s="1344">
        <v>51</v>
      </c>
      <c r="B122" s="1392" t="s">
        <v>3097</v>
      </c>
      <c r="C122" s="1346" t="s">
        <v>180</v>
      </c>
      <c r="D122" s="1347">
        <v>665747066</v>
      </c>
      <c r="E122" s="1348" t="s">
        <v>2808</v>
      </c>
      <c r="F122" s="1349" t="s">
        <v>37</v>
      </c>
      <c r="G122" s="1350" t="s">
        <v>3098</v>
      </c>
      <c r="H122" s="1351">
        <v>128606872</v>
      </c>
      <c r="I122" s="1352" t="s">
        <v>2830</v>
      </c>
      <c r="J122" s="1353">
        <v>42191</v>
      </c>
      <c r="K122" s="1354" t="s">
        <v>2786</v>
      </c>
      <c r="L122" s="1354"/>
      <c r="M122" s="1355" t="s">
        <v>2803</v>
      </c>
      <c r="N122" s="1356">
        <f t="shared" si="2"/>
        <v>128606872</v>
      </c>
      <c r="O122" s="1357">
        <v>0.6</v>
      </c>
      <c r="P122" s="1358" t="s">
        <v>2842</v>
      </c>
      <c r="Q122" s="1368" t="s">
        <v>2843</v>
      </c>
      <c r="R122" s="1344" t="s">
        <v>2844</v>
      </c>
      <c r="S122" s="1360"/>
      <c r="T122" s="1360"/>
      <c r="U122" s="1361"/>
    </row>
    <row r="123" spans="1:21" s="337" customFormat="1" ht="87.75" customHeight="1">
      <c r="A123" s="1344">
        <v>49</v>
      </c>
      <c r="B123" s="1392" t="s">
        <v>3099</v>
      </c>
      <c r="C123" s="1346" t="s">
        <v>180</v>
      </c>
      <c r="D123" s="1347">
        <v>665747066</v>
      </c>
      <c r="E123" s="1348" t="s">
        <v>2833</v>
      </c>
      <c r="F123" s="1349" t="s">
        <v>37</v>
      </c>
      <c r="G123" s="1350" t="s">
        <v>3100</v>
      </c>
      <c r="H123" s="1351">
        <v>107988115</v>
      </c>
      <c r="I123" s="1352" t="s">
        <v>2830</v>
      </c>
      <c r="J123" s="1353">
        <v>42191</v>
      </c>
      <c r="K123" s="1354" t="s">
        <v>2786</v>
      </c>
      <c r="L123" s="1354"/>
      <c r="M123" s="1355" t="s">
        <v>2803</v>
      </c>
      <c r="N123" s="1356">
        <f t="shared" si="2"/>
        <v>107988115</v>
      </c>
      <c r="O123" s="1357">
        <v>0.6</v>
      </c>
      <c r="P123" s="1358" t="s">
        <v>2842</v>
      </c>
      <c r="Q123" s="1368" t="s">
        <v>2843</v>
      </c>
      <c r="R123" s="1344" t="s">
        <v>2844</v>
      </c>
      <c r="S123" s="1360"/>
      <c r="T123" s="1360"/>
      <c r="U123" s="1361"/>
    </row>
    <row r="124" spans="1:21" ht="35.25" customHeight="1">
      <c r="A124" s="1344">
        <v>117</v>
      </c>
      <c r="B124" s="1392" t="s">
        <v>3101</v>
      </c>
      <c r="C124" s="1346" t="s">
        <v>180</v>
      </c>
      <c r="D124" s="1347">
        <v>665747066</v>
      </c>
      <c r="E124" s="1348" t="s">
        <v>2822</v>
      </c>
      <c r="F124" s="1349" t="s">
        <v>37</v>
      </c>
      <c r="G124" s="1350" t="s">
        <v>3102</v>
      </c>
      <c r="H124" s="1395">
        <v>104851764</v>
      </c>
      <c r="I124" s="1352" t="s">
        <v>2846</v>
      </c>
      <c r="J124" s="1353">
        <v>42275</v>
      </c>
      <c r="K124" s="1354" t="s">
        <v>2786</v>
      </c>
      <c r="L124" s="1354"/>
      <c r="M124" s="1355" t="s">
        <v>2787</v>
      </c>
      <c r="N124" s="1356">
        <f t="shared" si="2"/>
        <v>104851764</v>
      </c>
      <c r="O124" s="1357">
        <v>0.3</v>
      </c>
      <c r="P124" s="1358" t="s">
        <v>2842</v>
      </c>
      <c r="Q124" s="1368" t="s">
        <v>2843</v>
      </c>
      <c r="R124" s="1344" t="s">
        <v>2844</v>
      </c>
      <c r="S124" s="1360"/>
      <c r="T124" s="1360"/>
      <c r="U124" s="1361"/>
    </row>
    <row r="125" spans="1:21" ht="46.5" customHeight="1">
      <c r="A125" s="1344">
        <v>50</v>
      </c>
      <c r="B125" s="1392" t="s">
        <v>3103</v>
      </c>
      <c r="C125" s="1346" t="s">
        <v>180</v>
      </c>
      <c r="D125" s="1347">
        <v>665747066</v>
      </c>
      <c r="E125" s="1348" t="s">
        <v>2819</v>
      </c>
      <c r="F125" s="1349" t="s">
        <v>37</v>
      </c>
      <c r="G125" s="1350" t="s">
        <v>3104</v>
      </c>
      <c r="H125" s="1351">
        <v>117496462</v>
      </c>
      <c r="I125" s="1352" t="s">
        <v>2830</v>
      </c>
      <c r="J125" s="1353">
        <v>42191</v>
      </c>
      <c r="K125" s="1354" t="s">
        <v>2786</v>
      </c>
      <c r="L125" s="1354"/>
      <c r="M125" s="1355" t="s">
        <v>2803</v>
      </c>
      <c r="N125" s="1356">
        <f t="shared" si="2"/>
        <v>117496462</v>
      </c>
      <c r="O125" s="1357">
        <v>0.8</v>
      </c>
      <c r="P125" s="1358" t="s">
        <v>2842</v>
      </c>
      <c r="Q125" s="1368" t="s">
        <v>2843</v>
      </c>
      <c r="R125" s="1344" t="s">
        <v>2844</v>
      </c>
      <c r="S125" s="1360"/>
      <c r="T125" s="1360"/>
      <c r="U125" s="1361"/>
    </row>
    <row r="126" spans="1:21" s="337" customFormat="1" ht="153">
      <c r="A126" s="1344">
        <v>11</v>
      </c>
      <c r="B126" s="1392" t="s">
        <v>3105</v>
      </c>
      <c r="C126" s="1346" t="s">
        <v>82</v>
      </c>
      <c r="D126" s="1347">
        <v>410000000</v>
      </c>
      <c r="E126" s="1348" t="s">
        <v>2810</v>
      </c>
      <c r="F126" s="1349" t="s">
        <v>37</v>
      </c>
      <c r="G126" s="1350" t="s">
        <v>3106</v>
      </c>
      <c r="H126" s="1347">
        <v>45381595</v>
      </c>
      <c r="I126" s="1352" t="s">
        <v>2866</v>
      </c>
      <c r="J126" s="1353">
        <v>42109</v>
      </c>
      <c r="K126" s="1365" t="s">
        <v>2786</v>
      </c>
      <c r="L126" s="1354"/>
      <c r="M126" s="1355" t="s">
        <v>1190</v>
      </c>
      <c r="N126" s="1347">
        <v>45381595</v>
      </c>
      <c r="O126" s="1357">
        <v>0.73</v>
      </c>
      <c r="P126" s="742" t="s">
        <v>2806</v>
      </c>
      <c r="Q126" s="1364" t="s">
        <v>1845</v>
      </c>
      <c r="R126" s="1362" t="s">
        <v>2867</v>
      </c>
      <c r="S126" s="1360" t="s">
        <v>2868</v>
      </c>
      <c r="T126" s="1360" t="s">
        <v>3107</v>
      </c>
      <c r="U126" s="1361"/>
    </row>
    <row r="127" spans="1:21" ht="34.5" customHeight="1">
      <c r="A127" s="1344">
        <v>9</v>
      </c>
      <c r="B127" s="1392" t="s">
        <v>3105</v>
      </c>
      <c r="C127" s="1346" t="s">
        <v>82</v>
      </c>
      <c r="D127" s="1347">
        <v>410000000</v>
      </c>
      <c r="E127" s="1348" t="s">
        <v>2783</v>
      </c>
      <c r="F127" s="1349" t="s">
        <v>37</v>
      </c>
      <c r="G127" s="1350" t="s">
        <v>3108</v>
      </c>
      <c r="H127" s="1347">
        <v>45330816</v>
      </c>
      <c r="I127" s="1352" t="s">
        <v>2866</v>
      </c>
      <c r="J127" s="1353">
        <v>42114</v>
      </c>
      <c r="K127" s="1365" t="s">
        <v>2786</v>
      </c>
      <c r="L127" s="1354"/>
      <c r="M127" s="1355" t="s">
        <v>2846</v>
      </c>
      <c r="N127" s="1356">
        <v>45330816</v>
      </c>
      <c r="O127" s="1357">
        <v>0.72</v>
      </c>
      <c r="P127" s="742" t="s">
        <v>2806</v>
      </c>
      <c r="Q127" s="1364" t="s">
        <v>1845</v>
      </c>
      <c r="R127" s="1362" t="s">
        <v>2867</v>
      </c>
      <c r="S127" s="1384" t="s">
        <v>3109</v>
      </c>
      <c r="T127" s="1384" t="s">
        <v>3110</v>
      </c>
      <c r="U127" s="1361"/>
    </row>
    <row r="128" spans="1:21" ht="153">
      <c r="A128" s="1344">
        <v>10</v>
      </c>
      <c r="B128" s="1392" t="s">
        <v>3105</v>
      </c>
      <c r="C128" s="1346" t="s">
        <v>82</v>
      </c>
      <c r="D128" s="1347">
        <v>410000000</v>
      </c>
      <c r="E128" s="1348" t="s">
        <v>2808</v>
      </c>
      <c r="F128" s="1349" t="s">
        <v>37</v>
      </c>
      <c r="G128" s="1350" t="s">
        <v>3111</v>
      </c>
      <c r="H128" s="1347">
        <v>45319869</v>
      </c>
      <c r="I128" s="1352" t="s">
        <v>2866</v>
      </c>
      <c r="J128" s="1353">
        <v>42109</v>
      </c>
      <c r="K128" s="1365" t="s">
        <v>2786</v>
      </c>
      <c r="L128" s="1354"/>
      <c r="M128" s="1355" t="s">
        <v>1190</v>
      </c>
      <c r="N128" s="1347">
        <v>45319869</v>
      </c>
      <c r="O128" s="1357">
        <v>0.71</v>
      </c>
      <c r="P128" s="742" t="s">
        <v>2806</v>
      </c>
      <c r="Q128" s="1364" t="s">
        <v>1845</v>
      </c>
      <c r="R128" s="1362" t="s">
        <v>2867</v>
      </c>
      <c r="S128" s="1360" t="s">
        <v>3112</v>
      </c>
      <c r="T128" s="1360" t="s">
        <v>3113</v>
      </c>
      <c r="U128" s="1361"/>
    </row>
    <row r="129" spans="1:21" s="337" customFormat="1" ht="96">
      <c r="A129" s="1344">
        <v>65</v>
      </c>
      <c r="B129" s="1392" t="s">
        <v>3105</v>
      </c>
      <c r="C129" s="1346" t="s">
        <v>82</v>
      </c>
      <c r="D129" s="1347">
        <v>410000000</v>
      </c>
      <c r="E129" s="1348" t="s">
        <v>2837</v>
      </c>
      <c r="F129" s="1349" t="s">
        <v>37</v>
      </c>
      <c r="G129" s="1350" t="s">
        <v>3114</v>
      </c>
      <c r="H129" s="1351">
        <v>45163574</v>
      </c>
      <c r="I129" s="1352" t="s">
        <v>2802</v>
      </c>
      <c r="J129" s="1353">
        <v>42195</v>
      </c>
      <c r="K129" s="1354" t="s">
        <v>2786</v>
      </c>
      <c r="L129" s="1354"/>
      <c r="M129" s="1355" t="s">
        <v>2787</v>
      </c>
      <c r="N129" s="1351">
        <v>45163574</v>
      </c>
      <c r="O129" s="1357">
        <v>0.4</v>
      </c>
      <c r="P129" s="1358" t="s">
        <v>2806</v>
      </c>
      <c r="Q129" s="1364" t="s">
        <v>1845</v>
      </c>
      <c r="R129" s="1344" t="s">
        <v>2828</v>
      </c>
      <c r="S129" s="1360"/>
      <c r="T129" s="1360"/>
      <c r="U129" s="1361"/>
    </row>
    <row r="130" spans="1:21" ht="31.5" customHeight="1">
      <c r="A130" s="1344">
        <v>55</v>
      </c>
      <c r="B130" s="1392" t="s">
        <v>3115</v>
      </c>
      <c r="C130" s="1346" t="s">
        <v>1133</v>
      </c>
      <c r="D130" s="1347">
        <v>14171340</v>
      </c>
      <c r="E130" s="1348" t="s">
        <v>105</v>
      </c>
      <c r="F130" s="1349" t="s">
        <v>37</v>
      </c>
      <c r="G130" s="1363" t="s">
        <v>3116</v>
      </c>
      <c r="H130" s="1351">
        <v>20020742</v>
      </c>
      <c r="I130" s="1352" t="s">
        <v>2830</v>
      </c>
      <c r="J130" s="1353">
        <v>42180</v>
      </c>
      <c r="K130" s="1354" t="s">
        <v>2786</v>
      </c>
      <c r="L130" s="1354"/>
      <c r="M130" s="1355" t="s">
        <v>2803</v>
      </c>
      <c r="N130" s="1356">
        <f t="shared" ref="N130:N140" si="3">H130</f>
        <v>20020742</v>
      </c>
      <c r="O130" s="1357">
        <v>0.8</v>
      </c>
      <c r="P130" s="1358" t="s">
        <v>3051</v>
      </c>
      <c r="Q130" s="1386" t="s">
        <v>3052</v>
      </c>
      <c r="R130" s="1344" t="s">
        <v>3117</v>
      </c>
      <c r="S130" s="1360"/>
      <c r="T130" s="1360"/>
      <c r="U130" s="1361"/>
    </row>
    <row r="131" spans="1:21" s="337" customFormat="1" ht="132">
      <c r="A131" s="1344">
        <v>59</v>
      </c>
      <c r="B131" s="1392" t="s">
        <v>3118</v>
      </c>
      <c r="C131" s="1346" t="s">
        <v>1134</v>
      </c>
      <c r="D131" s="1347">
        <v>20000000</v>
      </c>
      <c r="E131" s="1348" t="s">
        <v>105</v>
      </c>
      <c r="F131" s="1349" t="s">
        <v>37</v>
      </c>
      <c r="G131" s="1363" t="s">
        <v>3119</v>
      </c>
      <c r="H131" s="1351">
        <v>21999648</v>
      </c>
      <c r="I131" s="1352" t="s">
        <v>2802</v>
      </c>
      <c r="J131" s="1353">
        <v>42191</v>
      </c>
      <c r="K131" s="1354" t="s">
        <v>2786</v>
      </c>
      <c r="L131" s="1354"/>
      <c r="M131" s="1355" t="s">
        <v>2803</v>
      </c>
      <c r="N131" s="1356">
        <f t="shared" si="3"/>
        <v>21999648</v>
      </c>
      <c r="O131" s="1357">
        <v>0.8</v>
      </c>
      <c r="P131" s="1358" t="s">
        <v>3051</v>
      </c>
      <c r="Q131" s="1396" t="s">
        <v>3120</v>
      </c>
      <c r="R131" s="1344" t="s">
        <v>2790</v>
      </c>
      <c r="S131" s="1360"/>
      <c r="T131" s="1360"/>
      <c r="U131" s="1361"/>
    </row>
    <row r="132" spans="1:21" s="337" customFormat="1" ht="168">
      <c r="A132" s="1344">
        <v>17</v>
      </c>
      <c r="B132" s="1392" t="s">
        <v>3121</v>
      </c>
      <c r="C132" s="1346" t="s">
        <v>101</v>
      </c>
      <c r="D132" s="1347">
        <v>49991800</v>
      </c>
      <c r="E132" s="1348" t="s">
        <v>2822</v>
      </c>
      <c r="F132" s="1349" t="s">
        <v>37</v>
      </c>
      <c r="G132" s="1350" t="s">
        <v>3122</v>
      </c>
      <c r="H132" s="1351">
        <v>12941560</v>
      </c>
      <c r="I132" s="1352" t="s">
        <v>2866</v>
      </c>
      <c r="J132" s="1353">
        <v>42132</v>
      </c>
      <c r="K132" s="1354" t="s">
        <v>2786</v>
      </c>
      <c r="L132" s="1354"/>
      <c r="M132" s="1355" t="s">
        <v>2802</v>
      </c>
      <c r="N132" s="1356">
        <f t="shared" si="3"/>
        <v>12941560</v>
      </c>
      <c r="O132" s="1357">
        <v>1</v>
      </c>
      <c r="P132" s="742" t="s">
        <v>2984</v>
      </c>
      <c r="Q132" s="1378" t="s">
        <v>2985</v>
      </c>
      <c r="R132" s="1362" t="s">
        <v>2847</v>
      </c>
      <c r="S132" s="1366">
        <v>42173</v>
      </c>
      <c r="T132" s="1366" t="s">
        <v>3123</v>
      </c>
      <c r="U132" s="1361"/>
    </row>
    <row r="133" spans="1:21" s="337" customFormat="1" ht="192">
      <c r="A133" s="1344">
        <v>37</v>
      </c>
      <c r="B133" s="1392" t="s">
        <v>3121</v>
      </c>
      <c r="C133" s="1346" t="s">
        <v>101</v>
      </c>
      <c r="D133" s="1347">
        <v>49991800</v>
      </c>
      <c r="E133" s="1348" t="s">
        <v>3124</v>
      </c>
      <c r="F133" s="1349" t="s">
        <v>37</v>
      </c>
      <c r="G133" s="1350" t="s">
        <v>3125</v>
      </c>
      <c r="H133" s="1351">
        <v>10852348</v>
      </c>
      <c r="I133" s="1352" t="s">
        <v>2794</v>
      </c>
      <c r="J133" s="1353">
        <v>42152</v>
      </c>
      <c r="K133" s="1354" t="s">
        <v>2786</v>
      </c>
      <c r="L133" s="1354"/>
      <c r="M133" s="1355" t="s">
        <v>2795</v>
      </c>
      <c r="N133" s="1356">
        <f t="shared" si="3"/>
        <v>10852348</v>
      </c>
      <c r="O133" s="1357">
        <v>1</v>
      </c>
      <c r="P133" s="1327" t="s">
        <v>2984</v>
      </c>
      <c r="Q133" s="1378" t="s">
        <v>2985</v>
      </c>
      <c r="R133" s="1344" t="s">
        <v>2847</v>
      </c>
      <c r="S133" s="1366">
        <v>42187</v>
      </c>
      <c r="T133" s="1366" t="s">
        <v>3126</v>
      </c>
      <c r="U133" s="1361"/>
    </row>
    <row r="134" spans="1:21" ht="34.5" customHeight="1">
      <c r="A134" s="1344">
        <v>18</v>
      </c>
      <c r="B134" s="1392" t="s">
        <v>3121</v>
      </c>
      <c r="C134" s="1346" t="s">
        <v>101</v>
      </c>
      <c r="D134" s="1347">
        <v>49991800</v>
      </c>
      <c r="E134" s="1348" t="s">
        <v>2833</v>
      </c>
      <c r="F134" s="1349" t="s">
        <v>37</v>
      </c>
      <c r="G134" s="1350" t="s">
        <v>3127</v>
      </c>
      <c r="H134" s="1351">
        <v>6325163</v>
      </c>
      <c r="I134" s="1352" t="s">
        <v>2866</v>
      </c>
      <c r="J134" s="1353">
        <v>42136</v>
      </c>
      <c r="K134" s="1354" t="s">
        <v>2786</v>
      </c>
      <c r="L134" s="1354"/>
      <c r="M134" s="1355" t="s">
        <v>2802</v>
      </c>
      <c r="N134" s="1356">
        <f t="shared" si="3"/>
        <v>6325163</v>
      </c>
      <c r="O134" s="1357">
        <v>1</v>
      </c>
      <c r="P134" s="742" t="s">
        <v>2984</v>
      </c>
      <c r="Q134" s="1378" t="s">
        <v>2985</v>
      </c>
      <c r="R134" s="1362" t="s">
        <v>2847</v>
      </c>
      <c r="S134" s="1360"/>
      <c r="T134" s="1360"/>
      <c r="U134" s="1361"/>
    </row>
    <row r="135" spans="1:21" s="337" customFormat="1" ht="50.25" customHeight="1">
      <c r="A135" s="1344">
        <v>19</v>
      </c>
      <c r="B135" s="1392" t="s">
        <v>3121</v>
      </c>
      <c r="C135" s="1346" t="s">
        <v>101</v>
      </c>
      <c r="D135" s="1347">
        <v>49991800</v>
      </c>
      <c r="E135" s="1348" t="s">
        <v>2819</v>
      </c>
      <c r="F135" s="1349" t="s">
        <v>37</v>
      </c>
      <c r="G135" s="1350" t="s">
        <v>3128</v>
      </c>
      <c r="H135" s="1351">
        <v>5588263</v>
      </c>
      <c r="I135" s="1352" t="s">
        <v>2866</v>
      </c>
      <c r="J135" s="1353">
        <v>42130</v>
      </c>
      <c r="K135" s="1354" t="s">
        <v>2786</v>
      </c>
      <c r="L135" s="1354"/>
      <c r="M135" s="1355" t="s">
        <v>2802</v>
      </c>
      <c r="N135" s="1356">
        <f t="shared" si="3"/>
        <v>5588263</v>
      </c>
      <c r="O135" s="1357">
        <v>1</v>
      </c>
      <c r="P135" s="742" t="s">
        <v>2984</v>
      </c>
      <c r="Q135" s="1378" t="s">
        <v>2985</v>
      </c>
      <c r="R135" s="1362" t="s">
        <v>2847</v>
      </c>
      <c r="S135" s="1366">
        <v>42167</v>
      </c>
      <c r="T135" s="1366" t="s">
        <v>3129</v>
      </c>
      <c r="U135" s="1361"/>
    </row>
    <row r="136" spans="1:21" ht="25.5" customHeight="1">
      <c r="A136" s="1344">
        <v>21</v>
      </c>
      <c r="B136" s="1392" t="s">
        <v>3121</v>
      </c>
      <c r="C136" s="1346" t="s">
        <v>101</v>
      </c>
      <c r="D136" s="1347">
        <v>49991800</v>
      </c>
      <c r="E136" s="1348" t="s">
        <v>2808</v>
      </c>
      <c r="F136" s="1349" t="s">
        <v>37</v>
      </c>
      <c r="G136" s="1350" t="s">
        <v>3130</v>
      </c>
      <c r="H136" s="1351">
        <v>3068852</v>
      </c>
      <c r="I136" s="1352" t="s">
        <v>2866</v>
      </c>
      <c r="J136" s="1353">
        <v>42130</v>
      </c>
      <c r="K136" s="1354" t="s">
        <v>2786</v>
      </c>
      <c r="L136" s="1354"/>
      <c r="M136" s="1355" t="s">
        <v>2802</v>
      </c>
      <c r="N136" s="1356">
        <f t="shared" si="3"/>
        <v>3068852</v>
      </c>
      <c r="O136" s="1357">
        <v>1</v>
      </c>
      <c r="P136" s="742" t="s">
        <v>2984</v>
      </c>
      <c r="Q136" s="1378" t="s">
        <v>2985</v>
      </c>
      <c r="R136" s="1362" t="s">
        <v>2847</v>
      </c>
      <c r="S136" s="1366">
        <v>42165</v>
      </c>
      <c r="T136" s="1366" t="s">
        <v>3131</v>
      </c>
      <c r="U136" s="1361"/>
    </row>
    <row r="137" spans="1:21" s="337" customFormat="1" ht="168">
      <c r="A137" s="1344">
        <v>22</v>
      </c>
      <c r="B137" s="1392" t="s">
        <v>3121</v>
      </c>
      <c r="C137" s="1346" t="s">
        <v>101</v>
      </c>
      <c r="D137" s="1347">
        <v>49991800</v>
      </c>
      <c r="E137" s="1348" t="s">
        <v>2810</v>
      </c>
      <c r="F137" s="1349" t="s">
        <v>37</v>
      </c>
      <c r="G137" s="1350" t="s">
        <v>3132</v>
      </c>
      <c r="H137" s="1351">
        <v>3068842</v>
      </c>
      <c r="I137" s="1352" t="s">
        <v>2866</v>
      </c>
      <c r="J137" s="1353">
        <v>42130</v>
      </c>
      <c r="K137" s="1354" t="s">
        <v>2786</v>
      </c>
      <c r="L137" s="1354"/>
      <c r="M137" s="1355" t="s">
        <v>2795</v>
      </c>
      <c r="N137" s="1356">
        <f t="shared" si="3"/>
        <v>3068842</v>
      </c>
      <c r="O137" s="1357">
        <v>1</v>
      </c>
      <c r="P137" s="742" t="s">
        <v>2984</v>
      </c>
      <c r="Q137" s="1378" t="s">
        <v>2985</v>
      </c>
      <c r="R137" s="1362" t="s">
        <v>2847</v>
      </c>
      <c r="S137" s="1366">
        <v>42192</v>
      </c>
      <c r="T137" s="1366" t="s">
        <v>3133</v>
      </c>
      <c r="U137" s="1361"/>
    </row>
    <row r="138" spans="1:21" s="337" customFormat="1" ht="180">
      <c r="A138" s="1344">
        <v>20</v>
      </c>
      <c r="B138" s="1392" t="s">
        <v>3121</v>
      </c>
      <c r="C138" s="1346" t="s">
        <v>101</v>
      </c>
      <c r="D138" s="1347">
        <v>49991800</v>
      </c>
      <c r="E138" s="1348" t="s">
        <v>2837</v>
      </c>
      <c r="F138" s="1349" t="s">
        <v>37</v>
      </c>
      <c r="G138" s="1350" t="s">
        <v>3134</v>
      </c>
      <c r="H138" s="1351">
        <v>2045348</v>
      </c>
      <c r="I138" s="1352" t="s">
        <v>2866</v>
      </c>
      <c r="J138" s="1353">
        <v>42130</v>
      </c>
      <c r="K138" s="1354" t="s">
        <v>2786</v>
      </c>
      <c r="L138" s="1354"/>
      <c r="M138" s="1355" t="s">
        <v>2802</v>
      </c>
      <c r="N138" s="1356">
        <f t="shared" si="3"/>
        <v>2045348</v>
      </c>
      <c r="O138" s="1357">
        <v>1</v>
      </c>
      <c r="P138" s="742" t="s">
        <v>2984</v>
      </c>
      <c r="Q138" s="1378" t="s">
        <v>2985</v>
      </c>
      <c r="R138" s="1362" t="s">
        <v>2847</v>
      </c>
      <c r="S138" s="1397">
        <v>42181</v>
      </c>
      <c r="T138" s="1397" t="s">
        <v>3135</v>
      </c>
      <c r="U138" s="1361"/>
    </row>
    <row r="139" spans="1:21" ht="34.5" customHeight="1">
      <c r="A139" s="1344">
        <v>31</v>
      </c>
      <c r="B139" s="1392" t="s">
        <v>3121</v>
      </c>
      <c r="C139" s="1346" t="s">
        <v>101</v>
      </c>
      <c r="D139" s="1347">
        <v>49991800</v>
      </c>
      <c r="E139" s="1348" t="s">
        <v>2783</v>
      </c>
      <c r="F139" s="1349" t="s">
        <v>37</v>
      </c>
      <c r="G139" s="1350" t="s">
        <v>3136</v>
      </c>
      <c r="H139" s="1351">
        <v>2045148</v>
      </c>
      <c r="I139" s="1352" t="s">
        <v>2794</v>
      </c>
      <c r="J139" s="1353">
        <v>42132</v>
      </c>
      <c r="K139" s="1354" t="s">
        <v>2786</v>
      </c>
      <c r="L139" s="1354"/>
      <c r="M139" s="1355" t="s">
        <v>2802</v>
      </c>
      <c r="N139" s="1356">
        <f t="shared" si="3"/>
        <v>2045148</v>
      </c>
      <c r="O139" s="1357">
        <v>1</v>
      </c>
      <c r="P139" s="1327" t="s">
        <v>2984</v>
      </c>
      <c r="Q139" s="1378" t="s">
        <v>2985</v>
      </c>
      <c r="R139" s="1344" t="s">
        <v>3137</v>
      </c>
      <c r="S139" s="1366">
        <v>42167</v>
      </c>
      <c r="T139" s="1366" t="s">
        <v>3138</v>
      </c>
      <c r="U139" s="1361"/>
    </row>
    <row r="140" spans="1:21" s="337" customFormat="1" ht="47.25" customHeight="1">
      <c r="A140" s="1344">
        <v>41</v>
      </c>
      <c r="B140" s="1392" t="s">
        <v>3139</v>
      </c>
      <c r="C140" s="1346" t="s">
        <v>3140</v>
      </c>
      <c r="D140" s="1347">
        <v>3500000</v>
      </c>
      <c r="E140" s="1348" t="s">
        <v>105</v>
      </c>
      <c r="F140" s="1349" t="s">
        <v>37</v>
      </c>
      <c r="G140" s="1363" t="s">
        <v>3141</v>
      </c>
      <c r="H140" s="1351">
        <v>27957384</v>
      </c>
      <c r="I140" s="1352" t="s">
        <v>2830</v>
      </c>
      <c r="J140" s="1353">
        <v>42163</v>
      </c>
      <c r="K140" s="1354" t="s">
        <v>2786</v>
      </c>
      <c r="L140" s="1354"/>
      <c r="M140" s="1355" t="s">
        <v>2803</v>
      </c>
      <c r="N140" s="1356">
        <f t="shared" si="3"/>
        <v>27957384</v>
      </c>
      <c r="O140" s="1357">
        <v>1</v>
      </c>
      <c r="P140" s="1327" t="s">
        <v>2901</v>
      </c>
      <c r="Q140" s="1396" t="s">
        <v>3142</v>
      </c>
      <c r="R140" s="1344" t="s">
        <v>2867</v>
      </c>
      <c r="S140" s="1366">
        <v>42233</v>
      </c>
      <c r="T140" s="1366" t="s">
        <v>3143</v>
      </c>
      <c r="U140" s="1361"/>
    </row>
    <row r="141" spans="1:21">
      <c r="B141" s="339"/>
      <c r="C141" s="340"/>
      <c r="D141" s="336"/>
      <c r="E141" s="336"/>
    </row>
    <row r="142" spans="1:21">
      <c r="B142" s="339"/>
      <c r="C142" s="340"/>
      <c r="D142" s="336"/>
      <c r="E142" s="336"/>
    </row>
    <row r="143" spans="1:21">
      <c r="B143" s="339"/>
      <c r="C143" s="340"/>
      <c r="D143" s="336"/>
      <c r="E143" s="336"/>
    </row>
    <row r="144" spans="1:21">
      <c r="D144" s="336"/>
      <c r="E144" s="336"/>
    </row>
    <row r="145" spans="4:5">
      <c r="D145" s="336"/>
      <c r="E145" s="336"/>
    </row>
    <row r="146" spans="4:5">
      <c r="D146" s="336"/>
      <c r="E146" s="336"/>
    </row>
  </sheetData>
  <mergeCells count="16">
    <mergeCell ref="A1:A3"/>
    <mergeCell ref="B1:B3"/>
    <mergeCell ref="C1:C3"/>
    <mergeCell ref="D1:D3"/>
    <mergeCell ref="E1:E3"/>
    <mergeCell ref="F1:F3"/>
    <mergeCell ref="G1:G3"/>
    <mergeCell ref="H1:H3"/>
    <mergeCell ref="I1:I3"/>
    <mergeCell ref="J1:J3"/>
    <mergeCell ref="K1:N1"/>
    <mergeCell ref="O1:P1"/>
    <mergeCell ref="Q1:Q3"/>
    <mergeCell ref="K2:L2"/>
    <mergeCell ref="M2:N2"/>
    <mergeCell ref="P2:P3"/>
  </mergeCells>
  <conditionalFormatting sqref="S4:U11 S19:U22 S24:U27 S31:U32 S34:U50 K3:N3 R4:R10 S52:U64 S66:U98 S16:U16 I4:J140 S100:U140 R15:R26">
    <cfRule type="containsBlanks" dxfId="178" priority="160" stopIfTrue="1">
      <formula>LEN(TRIM(I3))=0</formula>
    </cfRule>
  </conditionalFormatting>
  <conditionalFormatting sqref="R11:R14 S12:U14 S17:U18 U23">
    <cfRule type="containsBlanks" dxfId="177" priority="170" stopIfTrue="1">
      <formula>LEN(TRIM(R11))=0</formula>
    </cfRule>
  </conditionalFormatting>
  <conditionalFormatting sqref="H9">
    <cfRule type="containsBlanks" dxfId="176" priority="169" stopIfTrue="1">
      <formula>LEN(TRIM(H9))=0</formula>
    </cfRule>
  </conditionalFormatting>
  <conditionalFormatting sqref="H7">
    <cfRule type="containsBlanks" dxfId="175" priority="168" stopIfTrue="1">
      <formula>LEN(TRIM(H7))=0</formula>
    </cfRule>
  </conditionalFormatting>
  <conditionalFormatting sqref="H8">
    <cfRule type="containsBlanks" dxfId="174" priority="167" stopIfTrue="1">
      <formula>LEN(TRIM(H8))=0</formula>
    </cfRule>
  </conditionalFormatting>
  <conditionalFormatting sqref="H5">
    <cfRule type="containsBlanks" dxfId="173" priority="166" stopIfTrue="1">
      <formula>LEN(TRIM(H5))=0</formula>
    </cfRule>
  </conditionalFormatting>
  <conditionalFormatting sqref="H4">
    <cfRule type="containsBlanks" dxfId="172" priority="165" stopIfTrue="1">
      <formula>LEN(TRIM(H4))=0</formula>
    </cfRule>
  </conditionalFormatting>
  <conditionalFormatting sqref="H6">
    <cfRule type="containsBlanks" dxfId="171" priority="164" stopIfTrue="1">
      <formula>LEN(TRIM(H6))=0</formula>
    </cfRule>
  </conditionalFormatting>
  <conditionalFormatting sqref="H10">
    <cfRule type="containsBlanks" dxfId="170" priority="163" stopIfTrue="1">
      <formula>LEN(TRIM(H10))=0</formula>
    </cfRule>
  </conditionalFormatting>
  <conditionalFormatting sqref="H11">
    <cfRule type="containsBlanks" dxfId="169" priority="162" stopIfTrue="1">
      <formula>LEN(TRIM(H11))=0</formula>
    </cfRule>
  </conditionalFormatting>
  <conditionalFormatting sqref="H15">
    <cfRule type="containsBlanks" dxfId="168" priority="161" stopIfTrue="1">
      <formula>LEN(TRIM(H15))=0</formula>
    </cfRule>
  </conditionalFormatting>
  <conditionalFormatting sqref="H14">
    <cfRule type="containsBlanks" dxfId="167" priority="159" stopIfTrue="1">
      <formula>LEN(TRIM(H14))=0</formula>
    </cfRule>
  </conditionalFormatting>
  <conditionalFormatting sqref="H16">
    <cfRule type="containsBlanks" dxfId="166" priority="158" stopIfTrue="1">
      <formula>LEN(TRIM(H16))=0</formula>
    </cfRule>
  </conditionalFormatting>
  <conditionalFormatting sqref="H13">
    <cfRule type="containsBlanks" dxfId="165" priority="157" stopIfTrue="1">
      <formula>LEN(TRIM(H13))=0</formula>
    </cfRule>
  </conditionalFormatting>
  <conditionalFormatting sqref="H12">
    <cfRule type="containsBlanks" dxfId="164" priority="156" stopIfTrue="1">
      <formula>LEN(TRIM(H12))=0</formula>
    </cfRule>
  </conditionalFormatting>
  <conditionalFormatting sqref="H18">
    <cfRule type="containsBlanks" dxfId="163" priority="155" stopIfTrue="1">
      <formula>LEN(TRIM(H18))=0</formula>
    </cfRule>
  </conditionalFormatting>
  <conditionalFormatting sqref="H17">
    <cfRule type="containsBlanks" dxfId="162" priority="154" stopIfTrue="1">
      <formula>LEN(TRIM(H17))=0</formula>
    </cfRule>
  </conditionalFormatting>
  <conditionalFormatting sqref="H19">
    <cfRule type="containsBlanks" dxfId="161" priority="153" stopIfTrue="1">
      <formula>LEN(TRIM(H19))=0</formula>
    </cfRule>
  </conditionalFormatting>
  <conditionalFormatting sqref="H33">
    <cfRule type="containsBlanks" dxfId="160" priority="152" stopIfTrue="1">
      <formula>LEN(TRIM(H33))=0</formula>
    </cfRule>
  </conditionalFormatting>
  <conditionalFormatting sqref="H32">
    <cfRule type="containsBlanks" dxfId="159" priority="151" stopIfTrue="1">
      <formula>LEN(TRIM(H32))=0</formula>
    </cfRule>
  </conditionalFormatting>
  <conditionalFormatting sqref="H31">
    <cfRule type="containsBlanks" dxfId="158" priority="150" stopIfTrue="1">
      <formula>LEN(TRIM(H31))=0</formula>
    </cfRule>
  </conditionalFormatting>
  <conditionalFormatting sqref="H30">
    <cfRule type="containsBlanks" dxfId="157" priority="149" stopIfTrue="1">
      <formula>LEN(TRIM(H30))=0</formula>
    </cfRule>
  </conditionalFormatting>
  <conditionalFormatting sqref="H29">
    <cfRule type="containsBlanks" dxfId="156" priority="148" stopIfTrue="1">
      <formula>LEN(TRIM(H29))=0</formula>
    </cfRule>
  </conditionalFormatting>
  <conditionalFormatting sqref="H28">
    <cfRule type="containsBlanks" dxfId="155" priority="147" stopIfTrue="1">
      <formula>LEN(TRIM(H28))=0</formula>
    </cfRule>
  </conditionalFormatting>
  <conditionalFormatting sqref="H27">
    <cfRule type="containsBlanks" dxfId="154" priority="146" stopIfTrue="1">
      <formula>LEN(TRIM(H27))=0</formula>
    </cfRule>
  </conditionalFormatting>
  <conditionalFormatting sqref="S28:U30 S33:U33 U51 S65:U65">
    <cfRule type="containsBlanks" dxfId="153" priority="145" stopIfTrue="1">
      <formula>LEN(TRIM(S28))=0</formula>
    </cfRule>
  </conditionalFormatting>
  <conditionalFormatting sqref="H22">
    <cfRule type="containsBlanks" dxfId="152" priority="144" stopIfTrue="1">
      <formula>LEN(TRIM(H22))=0</formula>
    </cfRule>
  </conditionalFormatting>
  <conditionalFormatting sqref="H23">
    <cfRule type="containsBlanks" dxfId="151" priority="143" stopIfTrue="1">
      <formula>LEN(TRIM(H23))=0</formula>
    </cfRule>
  </conditionalFormatting>
  <conditionalFormatting sqref="H24">
    <cfRule type="containsBlanks" dxfId="150" priority="142" stopIfTrue="1">
      <formula>LEN(TRIM(H24))=0</formula>
    </cfRule>
  </conditionalFormatting>
  <conditionalFormatting sqref="H25">
    <cfRule type="containsBlanks" dxfId="149" priority="141" stopIfTrue="1">
      <formula>LEN(TRIM(H25))=0</formula>
    </cfRule>
  </conditionalFormatting>
  <conditionalFormatting sqref="H26">
    <cfRule type="containsBlanks" dxfId="148" priority="140" stopIfTrue="1">
      <formula>LEN(TRIM(H26))=0</formula>
    </cfRule>
  </conditionalFormatting>
  <conditionalFormatting sqref="H20">
    <cfRule type="containsBlanks" dxfId="147" priority="139" stopIfTrue="1">
      <formula>LEN(TRIM(H20))=0</formula>
    </cfRule>
  </conditionalFormatting>
  <conditionalFormatting sqref="H34">
    <cfRule type="containsBlanks" dxfId="146" priority="138" stopIfTrue="1">
      <formula>LEN(TRIM(H34))=0</formula>
    </cfRule>
  </conditionalFormatting>
  <conditionalFormatting sqref="H21">
    <cfRule type="containsBlanks" dxfId="145" priority="137" stopIfTrue="1">
      <formula>LEN(TRIM(H21))=0</formula>
    </cfRule>
  </conditionalFormatting>
  <conditionalFormatting sqref="H35">
    <cfRule type="containsBlanks" dxfId="144" priority="136" stopIfTrue="1">
      <formula>LEN(TRIM(H35))=0</formula>
    </cfRule>
  </conditionalFormatting>
  <conditionalFormatting sqref="S15">
    <cfRule type="containsBlanks" dxfId="143" priority="135" stopIfTrue="1">
      <formula>LEN(TRIM(S15))=0</formula>
    </cfRule>
  </conditionalFormatting>
  <conditionalFormatting sqref="T15">
    <cfRule type="containsBlanks" dxfId="142" priority="134" stopIfTrue="1">
      <formula>LEN(TRIM(T15))=0</formula>
    </cfRule>
  </conditionalFormatting>
  <conditionalFormatting sqref="H39">
    <cfRule type="containsBlanks" dxfId="141" priority="133" stopIfTrue="1">
      <formula>LEN(TRIM(H39))=0</formula>
    </cfRule>
  </conditionalFormatting>
  <conditionalFormatting sqref="H42">
    <cfRule type="containsBlanks" dxfId="140" priority="132" stopIfTrue="1">
      <formula>LEN(TRIM(H42))=0</formula>
    </cfRule>
  </conditionalFormatting>
  <conditionalFormatting sqref="H40">
    <cfRule type="containsBlanks" dxfId="139" priority="131" stopIfTrue="1">
      <formula>LEN(TRIM(H40))=0</formula>
    </cfRule>
  </conditionalFormatting>
  <conditionalFormatting sqref="H43">
    <cfRule type="containsBlanks" dxfId="138" priority="130" stopIfTrue="1">
      <formula>LEN(TRIM(H43))=0</formula>
    </cfRule>
  </conditionalFormatting>
  <conditionalFormatting sqref="H41">
    <cfRule type="containsBlanks" dxfId="137" priority="129" stopIfTrue="1">
      <formula>LEN(TRIM(H41))=0</formula>
    </cfRule>
  </conditionalFormatting>
  <conditionalFormatting sqref="H46">
    <cfRule type="containsBlanks" dxfId="136" priority="128" stopIfTrue="1">
      <formula>LEN(TRIM(H46))=0</formula>
    </cfRule>
  </conditionalFormatting>
  <conditionalFormatting sqref="H47">
    <cfRule type="containsBlanks" dxfId="135" priority="127" stopIfTrue="1">
      <formula>LEN(TRIM(H47))=0</formula>
    </cfRule>
  </conditionalFormatting>
  <conditionalFormatting sqref="H45">
    <cfRule type="containsBlanks" dxfId="134" priority="126" stopIfTrue="1">
      <formula>LEN(TRIM(H45))=0</formula>
    </cfRule>
  </conditionalFormatting>
  <conditionalFormatting sqref="H50">
    <cfRule type="containsBlanks" dxfId="133" priority="121" stopIfTrue="1">
      <formula>LEN(TRIM(H50))=0</formula>
    </cfRule>
  </conditionalFormatting>
  <conditionalFormatting sqref="H44">
    <cfRule type="containsBlanks" dxfId="132" priority="125" stopIfTrue="1">
      <formula>LEN(TRIM(H44))=0</formula>
    </cfRule>
  </conditionalFormatting>
  <conditionalFormatting sqref="H49">
    <cfRule type="containsBlanks" dxfId="131" priority="124" stopIfTrue="1">
      <formula>LEN(TRIM(H49))=0</formula>
    </cfRule>
  </conditionalFormatting>
  <conditionalFormatting sqref="H51">
    <cfRule type="containsBlanks" dxfId="130" priority="123" stopIfTrue="1">
      <formula>LEN(TRIM(H51))=0</formula>
    </cfRule>
  </conditionalFormatting>
  <conditionalFormatting sqref="H48">
    <cfRule type="containsBlanks" dxfId="129" priority="122" stopIfTrue="1">
      <formula>LEN(TRIM(H48))=0</formula>
    </cfRule>
  </conditionalFormatting>
  <conditionalFormatting sqref="U15">
    <cfRule type="containsBlanks" dxfId="128" priority="120" stopIfTrue="1">
      <formula>LEN(TRIM(U15))=0</formula>
    </cfRule>
  </conditionalFormatting>
  <conditionalFormatting sqref="H38">
    <cfRule type="containsBlanks" dxfId="127" priority="119" stopIfTrue="1">
      <formula>LEN(TRIM(H38))=0</formula>
    </cfRule>
  </conditionalFormatting>
  <conditionalFormatting sqref="H58">
    <cfRule type="containsBlanks" dxfId="126" priority="118" stopIfTrue="1">
      <formula>LEN(TRIM(H58))=0</formula>
    </cfRule>
  </conditionalFormatting>
  <conditionalFormatting sqref="H36">
    <cfRule type="containsBlanks" dxfId="125" priority="117" stopIfTrue="1">
      <formula>LEN(TRIM(H36))=0</formula>
    </cfRule>
  </conditionalFormatting>
  <conditionalFormatting sqref="H37">
    <cfRule type="containsBlanks" dxfId="124" priority="116" stopIfTrue="1">
      <formula>LEN(TRIM(H37))=0</formula>
    </cfRule>
  </conditionalFormatting>
  <conditionalFormatting sqref="H66">
    <cfRule type="containsBlanks" dxfId="123" priority="115" stopIfTrue="1">
      <formula>LEN(TRIM(H66))=0</formula>
    </cfRule>
  </conditionalFormatting>
  <conditionalFormatting sqref="H59">
    <cfRule type="containsBlanks" dxfId="122" priority="114" stopIfTrue="1">
      <formula>LEN(TRIM(H59))=0</formula>
    </cfRule>
  </conditionalFormatting>
  <conditionalFormatting sqref="H60">
    <cfRule type="containsBlanks" dxfId="121" priority="113" stopIfTrue="1">
      <formula>LEN(TRIM(H60))=0</formula>
    </cfRule>
  </conditionalFormatting>
  <conditionalFormatting sqref="H62">
    <cfRule type="containsBlanks" dxfId="120" priority="112" stopIfTrue="1">
      <formula>LEN(TRIM(H62))=0</formula>
    </cfRule>
  </conditionalFormatting>
  <conditionalFormatting sqref="H67">
    <cfRule type="containsBlanks" dxfId="119" priority="111" stopIfTrue="1">
      <formula>LEN(TRIM(H67))=0</formula>
    </cfRule>
  </conditionalFormatting>
  <conditionalFormatting sqref="H65">
    <cfRule type="containsBlanks" dxfId="118" priority="110" stopIfTrue="1">
      <formula>LEN(TRIM(H65))=0</formula>
    </cfRule>
  </conditionalFormatting>
  <conditionalFormatting sqref="H63">
    <cfRule type="containsBlanks" dxfId="117" priority="109" stopIfTrue="1">
      <formula>LEN(TRIM(H63))=0</formula>
    </cfRule>
  </conditionalFormatting>
  <conditionalFormatting sqref="H57">
    <cfRule type="containsBlanks" dxfId="116" priority="108" stopIfTrue="1">
      <formula>LEN(TRIM(H57))=0</formula>
    </cfRule>
  </conditionalFormatting>
  <conditionalFormatting sqref="H64">
    <cfRule type="containsBlanks" dxfId="115" priority="107" stopIfTrue="1">
      <formula>LEN(TRIM(H64))=0</formula>
    </cfRule>
  </conditionalFormatting>
  <conditionalFormatting sqref="H68">
    <cfRule type="containsBlanks" dxfId="114" priority="106" stopIfTrue="1">
      <formula>LEN(TRIM(H68))=0</formula>
    </cfRule>
  </conditionalFormatting>
  <conditionalFormatting sqref="H72">
    <cfRule type="containsBlanks" dxfId="113" priority="105" stopIfTrue="1">
      <formula>LEN(TRIM(H72))=0</formula>
    </cfRule>
  </conditionalFormatting>
  <conditionalFormatting sqref="H74">
    <cfRule type="containsBlanks" dxfId="112" priority="104" stopIfTrue="1">
      <formula>LEN(TRIM(H74))=0</formula>
    </cfRule>
  </conditionalFormatting>
  <conditionalFormatting sqref="H70">
    <cfRule type="containsBlanks" dxfId="111" priority="103" stopIfTrue="1">
      <formula>LEN(TRIM(H70))=0</formula>
    </cfRule>
  </conditionalFormatting>
  <conditionalFormatting sqref="H69">
    <cfRule type="containsBlanks" dxfId="110" priority="102" stopIfTrue="1">
      <formula>LEN(TRIM(H69))=0</formula>
    </cfRule>
  </conditionalFormatting>
  <conditionalFormatting sqref="H75">
    <cfRule type="containsBlanks" dxfId="109" priority="101" stopIfTrue="1">
      <formula>LEN(TRIM(H75))=0</formula>
    </cfRule>
  </conditionalFormatting>
  <conditionalFormatting sqref="H73">
    <cfRule type="containsBlanks" dxfId="108" priority="100" stopIfTrue="1">
      <formula>LEN(TRIM(H73))=0</formula>
    </cfRule>
  </conditionalFormatting>
  <conditionalFormatting sqref="H71">
    <cfRule type="containsBlanks" dxfId="107" priority="99" stopIfTrue="1">
      <formula>LEN(TRIM(H71))=0</formula>
    </cfRule>
  </conditionalFormatting>
  <conditionalFormatting sqref="H76">
    <cfRule type="containsBlanks" dxfId="106" priority="98" stopIfTrue="1">
      <formula>LEN(TRIM(H76))=0</formula>
    </cfRule>
  </conditionalFormatting>
  <conditionalFormatting sqref="H77">
    <cfRule type="containsBlanks" dxfId="105" priority="97" stopIfTrue="1">
      <formula>LEN(TRIM(H77))=0</formula>
    </cfRule>
  </conditionalFormatting>
  <conditionalFormatting sqref="H89:H90">
    <cfRule type="containsBlanks" dxfId="104" priority="96" stopIfTrue="1">
      <formula>LEN(TRIM(H89))=0</formula>
    </cfRule>
  </conditionalFormatting>
  <conditionalFormatting sqref="H78">
    <cfRule type="containsBlanks" dxfId="103" priority="95" stopIfTrue="1">
      <formula>LEN(TRIM(H78))=0</formula>
    </cfRule>
  </conditionalFormatting>
  <conditionalFormatting sqref="H84">
    <cfRule type="containsBlanks" dxfId="102" priority="94" stopIfTrue="1">
      <formula>LEN(TRIM(H84))=0</formula>
    </cfRule>
  </conditionalFormatting>
  <conditionalFormatting sqref="H86">
    <cfRule type="containsBlanks" dxfId="101" priority="93" stopIfTrue="1">
      <formula>LEN(TRIM(H86))=0</formula>
    </cfRule>
  </conditionalFormatting>
  <conditionalFormatting sqref="H80">
    <cfRule type="containsBlanks" dxfId="100" priority="92" stopIfTrue="1">
      <formula>LEN(TRIM(H80))=0</formula>
    </cfRule>
  </conditionalFormatting>
  <conditionalFormatting sqref="H87">
    <cfRule type="containsBlanks" dxfId="99" priority="91" stopIfTrue="1">
      <formula>LEN(TRIM(H87))=0</formula>
    </cfRule>
  </conditionalFormatting>
  <conditionalFormatting sqref="H83">
    <cfRule type="containsBlanks" dxfId="98" priority="90" stopIfTrue="1">
      <formula>LEN(TRIM(H83))=0</formula>
    </cfRule>
  </conditionalFormatting>
  <conditionalFormatting sqref="H82">
    <cfRule type="containsBlanks" dxfId="97" priority="89" stopIfTrue="1">
      <formula>LEN(TRIM(H82))=0</formula>
    </cfRule>
  </conditionalFormatting>
  <conditionalFormatting sqref="H88">
    <cfRule type="containsBlanks" dxfId="96" priority="88" stopIfTrue="1">
      <formula>LEN(TRIM(H88))=0</formula>
    </cfRule>
  </conditionalFormatting>
  <conditionalFormatting sqref="H81">
    <cfRule type="containsBlanks" dxfId="95" priority="87" stopIfTrue="1">
      <formula>LEN(TRIM(H81))=0</formula>
    </cfRule>
  </conditionalFormatting>
  <conditionalFormatting sqref="H79">
    <cfRule type="containsBlanks" dxfId="94" priority="86" stopIfTrue="1">
      <formula>LEN(TRIM(H79))=0</formula>
    </cfRule>
  </conditionalFormatting>
  <conditionalFormatting sqref="H91">
    <cfRule type="containsBlanks" dxfId="93" priority="85" stopIfTrue="1">
      <formula>LEN(TRIM(H91))=0</formula>
    </cfRule>
  </conditionalFormatting>
  <conditionalFormatting sqref="H52">
    <cfRule type="containsBlanks" dxfId="92" priority="84" stopIfTrue="1">
      <formula>LEN(TRIM(H52))=0</formula>
    </cfRule>
  </conditionalFormatting>
  <conditionalFormatting sqref="H53">
    <cfRule type="containsBlanks" dxfId="91" priority="83" stopIfTrue="1">
      <formula>LEN(TRIM(H53))=0</formula>
    </cfRule>
  </conditionalFormatting>
  <conditionalFormatting sqref="H56">
    <cfRule type="containsBlanks" dxfId="90" priority="82" stopIfTrue="1">
      <formula>LEN(TRIM(H56))=0</formula>
    </cfRule>
  </conditionalFormatting>
  <conditionalFormatting sqref="H100">
    <cfRule type="containsBlanks" dxfId="89" priority="81" stopIfTrue="1">
      <formula>LEN(TRIM(H100))=0</formula>
    </cfRule>
  </conditionalFormatting>
  <conditionalFormatting sqref="H98">
    <cfRule type="containsBlanks" dxfId="88" priority="80" stopIfTrue="1">
      <formula>LEN(TRIM(H98))=0</formula>
    </cfRule>
  </conditionalFormatting>
  <conditionalFormatting sqref="H105">
    <cfRule type="containsBlanks" dxfId="87" priority="79" stopIfTrue="1">
      <formula>LEN(TRIM(H105))=0</formula>
    </cfRule>
  </conditionalFormatting>
  <conditionalFormatting sqref="H107">
    <cfRule type="containsBlanks" dxfId="86" priority="78" stopIfTrue="1">
      <formula>LEN(TRIM(H107))=0</formula>
    </cfRule>
  </conditionalFormatting>
  <conditionalFormatting sqref="H106">
    <cfRule type="containsBlanks" dxfId="85" priority="77" stopIfTrue="1">
      <formula>LEN(TRIM(H106))=0</formula>
    </cfRule>
  </conditionalFormatting>
  <conditionalFormatting sqref="H101">
    <cfRule type="containsBlanks" dxfId="84" priority="76" stopIfTrue="1">
      <formula>LEN(TRIM(H101))=0</formula>
    </cfRule>
  </conditionalFormatting>
  <conditionalFormatting sqref="H111">
    <cfRule type="containsBlanks" dxfId="83" priority="75" stopIfTrue="1">
      <formula>LEN(TRIM(H111))=0</formula>
    </cfRule>
  </conditionalFormatting>
  <conditionalFormatting sqref="H102">
    <cfRule type="containsBlanks" dxfId="82" priority="74" stopIfTrue="1">
      <formula>LEN(TRIM(H102))=0</formula>
    </cfRule>
  </conditionalFormatting>
  <conditionalFormatting sqref="H104">
    <cfRule type="containsBlanks" dxfId="81" priority="73" stopIfTrue="1">
      <formula>LEN(TRIM(H104))=0</formula>
    </cfRule>
  </conditionalFormatting>
  <conditionalFormatting sqref="H103">
    <cfRule type="containsBlanks" dxfId="80" priority="72" stopIfTrue="1">
      <formula>LEN(TRIM(H103))=0</formula>
    </cfRule>
  </conditionalFormatting>
  <conditionalFormatting sqref="H110">
    <cfRule type="containsBlanks" dxfId="79" priority="71" stopIfTrue="1">
      <formula>LEN(TRIM(H110))=0</formula>
    </cfRule>
  </conditionalFormatting>
  <conditionalFormatting sqref="H112">
    <cfRule type="containsBlanks" dxfId="78" priority="70" stopIfTrue="1">
      <formula>LEN(TRIM(H112))=0</formula>
    </cfRule>
  </conditionalFormatting>
  <conditionalFormatting sqref="H109">
    <cfRule type="containsBlanks" dxfId="77" priority="69" stopIfTrue="1">
      <formula>LEN(TRIM(H109))=0</formula>
    </cfRule>
  </conditionalFormatting>
  <conditionalFormatting sqref="H108">
    <cfRule type="containsBlanks" dxfId="76" priority="68" stopIfTrue="1">
      <formula>LEN(TRIM(H108))=0</formula>
    </cfRule>
  </conditionalFormatting>
  <conditionalFormatting sqref="H115">
    <cfRule type="containsBlanks" dxfId="75" priority="67" stopIfTrue="1">
      <formula>LEN(TRIM(H115))=0</formula>
    </cfRule>
  </conditionalFormatting>
  <conditionalFormatting sqref="H94">
    <cfRule type="containsBlanks" dxfId="74" priority="66" stopIfTrue="1">
      <formula>LEN(TRIM(H94))=0</formula>
    </cfRule>
  </conditionalFormatting>
  <conditionalFormatting sqref="H93">
    <cfRule type="containsBlanks" dxfId="73" priority="65" stopIfTrue="1">
      <formula>LEN(TRIM(H93))=0</formula>
    </cfRule>
  </conditionalFormatting>
  <conditionalFormatting sqref="H92">
    <cfRule type="containsBlanks" dxfId="72" priority="64" stopIfTrue="1">
      <formula>LEN(TRIM(H92))=0</formula>
    </cfRule>
  </conditionalFormatting>
  <conditionalFormatting sqref="H95">
    <cfRule type="containsBlanks" dxfId="71" priority="63" stopIfTrue="1">
      <formula>LEN(TRIM(H95))=0</formula>
    </cfRule>
  </conditionalFormatting>
  <conditionalFormatting sqref="H96">
    <cfRule type="containsBlanks" dxfId="70" priority="62" stopIfTrue="1">
      <formula>LEN(TRIM(H96))=0</formula>
    </cfRule>
  </conditionalFormatting>
  <conditionalFormatting sqref="H118">
    <cfRule type="containsBlanks" dxfId="69" priority="61" stopIfTrue="1">
      <formula>LEN(TRIM(H118))=0</formula>
    </cfRule>
  </conditionalFormatting>
  <conditionalFormatting sqref="H97">
    <cfRule type="containsBlanks" dxfId="68" priority="60" stopIfTrue="1">
      <formula>LEN(TRIM(H97))=0</formula>
    </cfRule>
  </conditionalFormatting>
  <conditionalFormatting sqref="H119">
    <cfRule type="containsBlanks" dxfId="67" priority="59" stopIfTrue="1">
      <formula>LEN(TRIM(H119))=0</formula>
    </cfRule>
  </conditionalFormatting>
  <conditionalFormatting sqref="H124">
    <cfRule type="containsBlanks" dxfId="66" priority="58" stopIfTrue="1">
      <formula>LEN(TRIM(H124))=0</formula>
    </cfRule>
  </conditionalFormatting>
  <conditionalFormatting sqref="H117">
    <cfRule type="containsBlanks" dxfId="65" priority="57" stopIfTrue="1">
      <formula>LEN(TRIM(H117))=0</formula>
    </cfRule>
  </conditionalFormatting>
  <conditionalFormatting sqref="H113">
    <cfRule type="containsBlanks" dxfId="64" priority="56" stopIfTrue="1">
      <formula>LEN(TRIM(H113))=0</formula>
    </cfRule>
  </conditionalFormatting>
  <conditionalFormatting sqref="H120">
    <cfRule type="containsBlanks" dxfId="63" priority="55" stopIfTrue="1">
      <formula>LEN(TRIM(H120))=0</formula>
    </cfRule>
  </conditionalFormatting>
  <conditionalFormatting sqref="H114">
    <cfRule type="containsBlanks" dxfId="62" priority="54" stopIfTrue="1">
      <formula>LEN(TRIM(H114))=0</formula>
    </cfRule>
  </conditionalFormatting>
  <conditionalFormatting sqref="H85">
    <cfRule type="containsBlanks" dxfId="61" priority="53" stopIfTrue="1">
      <formula>LEN(TRIM(H85))=0</formula>
    </cfRule>
  </conditionalFormatting>
  <conditionalFormatting sqref="S51">
    <cfRule type="containsBlanks" dxfId="60" priority="52" stopIfTrue="1">
      <formula>LEN(TRIM(S51))=0</formula>
    </cfRule>
  </conditionalFormatting>
  <conditionalFormatting sqref="T51">
    <cfRule type="containsBlanks" dxfId="59" priority="51" stopIfTrue="1">
      <formula>LEN(TRIM(T51))=0</formula>
    </cfRule>
  </conditionalFormatting>
  <conditionalFormatting sqref="H61">
    <cfRule type="containsBlanks" dxfId="58" priority="50" stopIfTrue="1">
      <formula>LEN(TRIM(H61))=0</formula>
    </cfRule>
  </conditionalFormatting>
  <conditionalFormatting sqref="H116">
    <cfRule type="containsBlanks" dxfId="57" priority="49" stopIfTrue="1">
      <formula>LEN(TRIM(H116))=0</formula>
    </cfRule>
  </conditionalFormatting>
  <conditionalFormatting sqref="H55">
    <cfRule type="containsBlanks" dxfId="56" priority="48" stopIfTrue="1">
      <formula>LEN(TRIM(H55))=0</formula>
    </cfRule>
  </conditionalFormatting>
  <conditionalFormatting sqref="H54">
    <cfRule type="containsBlanks" dxfId="55" priority="47" stopIfTrue="1">
      <formula>LEN(TRIM(H54))=0</formula>
    </cfRule>
  </conditionalFormatting>
  <conditionalFormatting sqref="H132">
    <cfRule type="containsBlanks" dxfId="54" priority="46" stopIfTrue="1">
      <formula>LEN(TRIM(H132))=0</formula>
    </cfRule>
  </conditionalFormatting>
  <conditionalFormatting sqref="H122">
    <cfRule type="containsBlanks" dxfId="53" priority="45" stopIfTrue="1">
      <formula>LEN(TRIM(H122))=0</formula>
    </cfRule>
  </conditionalFormatting>
  <conditionalFormatting sqref="H138">
    <cfRule type="containsBlanks" dxfId="52" priority="44" stopIfTrue="1">
      <formula>LEN(TRIM(H138))=0</formula>
    </cfRule>
  </conditionalFormatting>
  <conditionalFormatting sqref="H127">
    <cfRule type="containsBlanks" dxfId="51" priority="43" stopIfTrue="1">
      <formula>LEN(TRIM(H127))=0</formula>
    </cfRule>
  </conditionalFormatting>
  <conditionalFormatting sqref="H126">
    <cfRule type="containsBlanks" dxfId="50" priority="42" stopIfTrue="1">
      <formula>LEN(TRIM(H126))=0</formula>
    </cfRule>
  </conditionalFormatting>
  <conditionalFormatting sqref="H125">
    <cfRule type="containsBlanks" dxfId="49" priority="41" stopIfTrue="1">
      <formula>LEN(TRIM(H125))=0</formula>
    </cfRule>
  </conditionalFormatting>
  <conditionalFormatting sqref="H128">
    <cfRule type="containsBlanks" dxfId="48" priority="40" stopIfTrue="1">
      <formula>LEN(TRIM(H128))=0</formula>
    </cfRule>
  </conditionalFormatting>
  <conditionalFormatting sqref="H133">
    <cfRule type="containsBlanks" dxfId="47" priority="39" stopIfTrue="1">
      <formula>LEN(TRIM(H133))=0</formula>
    </cfRule>
  </conditionalFormatting>
  <conditionalFormatting sqref="H135">
    <cfRule type="containsBlanks" dxfId="46" priority="38" stopIfTrue="1">
      <formula>LEN(TRIM(H135))=0</formula>
    </cfRule>
  </conditionalFormatting>
  <conditionalFormatting sqref="H131">
    <cfRule type="containsBlanks" dxfId="45" priority="37" stopIfTrue="1">
      <formula>LEN(TRIM(H131))=0</formula>
    </cfRule>
  </conditionalFormatting>
  <conditionalFormatting sqref="H134">
    <cfRule type="containsBlanks" dxfId="44" priority="36" stopIfTrue="1">
      <formula>LEN(TRIM(H134))=0</formula>
    </cfRule>
  </conditionalFormatting>
  <conditionalFormatting sqref="H139">
    <cfRule type="containsBlanks" dxfId="43" priority="35" stopIfTrue="1">
      <formula>LEN(TRIM(H139))=0</formula>
    </cfRule>
  </conditionalFormatting>
  <conditionalFormatting sqref="H137">
    <cfRule type="containsBlanks" dxfId="42" priority="34" stopIfTrue="1">
      <formula>LEN(TRIM(H137))=0</formula>
    </cfRule>
  </conditionalFormatting>
  <conditionalFormatting sqref="H123">
    <cfRule type="containsBlanks" dxfId="41" priority="33" stopIfTrue="1">
      <formula>LEN(TRIM(H123))=0</formula>
    </cfRule>
  </conditionalFormatting>
  <conditionalFormatting sqref="N13">
    <cfRule type="containsBlanks" dxfId="40" priority="32" stopIfTrue="1">
      <formula>LEN(TRIM(N13))=0</formula>
    </cfRule>
  </conditionalFormatting>
  <conditionalFormatting sqref="N11">
    <cfRule type="containsBlanks" dxfId="39" priority="31" stopIfTrue="1">
      <formula>LEN(TRIM(N11))=0</formula>
    </cfRule>
  </conditionalFormatting>
  <conditionalFormatting sqref="N126">
    <cfRule type="containsBlanks" dxfId="38" priority="28" stopIfTrue="1">
      <formula>LEN(TRIM(N126))=0</formula>
    </cfRule>
  </conditionalFormatting>
  <conditionalFormatting sqref="N128">
    <cfRule type="containsBlanks" dxfId="37" priority="30" stopIfTrue="1">
      <formula>LEN(TRIM(N128))=0</formula>
    </cfRule>
  </conditionalFormatting>
  <conditionalFormatting sqref="N31">
    <cfRule type="containsBlanks" dxfId="36" priority="29" stopIfTrue="1">
      <formula>LEN(TRIM(N31))=0</formula>
    </cfRule>
  </conditionalFormatting>
  <conditionalFormatting sqref="N90">
    <cfRule type="containsBlanks" dxfId="35" priority="27" stopIfTrue="1">
      <formula>LEN(TRIM(N90))=0</formula>
    </cfRule>
  </conditionalFormatting>
  <conditionalFormatting sqref="N19">
    <cfRule type="containsBlanks" dxfId="34" priority="26" stopIfTrue="1">
      <formula>LEN(TRIM(N19))=0</formula>
    </cfRule>
  </conditionalFormatting>
  <conditionalFormatting sqref="N18">
    <cfRule type="containsBlanks" dxfId="33" priority="25" stopIfTrue="1">
      <formula>LEN(TRIM(N18))=0</formula>
    </cfRule>
  </conditionalFormatting>
  <conditionalFormatting sqref="N114">
    <cfRule type="containsBlanks" dxfId="32" priority="24" stopIfTrue="1">
      <formula>LEN(TRIM(N114))=0</formula>
    </cfRule>
  </conditionalFormatting>
  <conditionalFormatting sqref="N17">
    <cfRule type="containsBlanks" dxfId="31" priority="23" stopIfTrue="1">
      <formula>LEN(TRIM(N17))=0</formula>
    </cfRule>
  </conditionalFormatting>
  <conditionalFormatting sqref="N112">
    <cfRule type="containsBlanks" dxfId="30" priority="22" stopIfTrue="1">
      <formula>LEN(TRIM(N112))=0</formula>
    </cfRule>
  </conditionalFormatting>
  <conditionalFormatting sqref="N9">
    <cfRule type="containsBlanks" dxfId="29" priority="21" stopIfTrue="1">
      <formula>LEN(TRIM(N9))=0</formula>
    </cfRule>
  </conditionalFormatting>
  <conditionalFormatting sqref="N7">
    <cfRule type="containsBlanks" dxfId="28" priority="20" stopIfTrue="1">
      <formula>LEN(TRIM(N7))=0</formula>
    </cfRule>
  </conditionalFormatting>
  <conditionalFormatting sqref="N8">
    <cfRule type="containsBlanks" dxfId="27" priority="19" stopIfTrue="1">
      <formula>LEN(TRIM(N8))=0</formula>
    </cfRule>
  </conditionalFormatting>
  <conditionalFormatting sqref="N15">
    <cfRule type="containsBlanks" dxfId="26" priority="18" stopIfTrue="1">
      <formula>LEN(TRIM(N15))=0</formula>
    </cfRule>
  </conditionalFormatting>
  <conditionalFormatting sqref="N16">
    <cfRule type="containsBlanks" dxfId="25" priority="17" stopIfTrue="1">
      <formula>LEN(TRIM(N16))=0</formula>
    </cfRule>
  </conditionalFormatting>
  <conditionalFormatting sqref="N24">
    <cfRule type="containsBlanks" dxfId="24" priority="16" stopIfTrue="1">
      <formula>LEN(TRIM(N24))=0</formula>
    </cfRule>
  </conditionalFormatting>
  <conditionalFormatting sqref="N29">
    <cfRule type="containsBlanks" dxfId="23" priority="15" stopIfTrue="1">
      <formula>LEN(TRIM(N29))=0</formula>
    </cfRule>
  </conditionalFormatting>
  <conditionalFormatting sqref="N33">
    <cfRule type="containsBlanks" dxfId="22" priority="14" stopIfTrue="1">
      <formula>LEN(TRIM(N33))=0</formula>
    </cfRule>
  </conditionalFormatting>
  <conditionalFormatting sqref="N32">
    <cfRule type="containsBlanks" dxfId="21" priority="13" stopIfTrue="1">
      <formula>LEN(TRIM(N32))=0</formula>
    </cfRule>
  </conditionalFormatting>
  <conditionalFormatting sqref="N34">
    <cfRule type="containsBlanks" dxfId="20" priority="12" stopIfTrue="1">
      <formula>LEN(TRIM(N34))=0</formula>
    </cfRule>
  </conditionalFormatting>
  <conditionalFormatting sqref="N35">
    <cfRule type="containsBlanks" dxfId="19" priority="11" stopIfTrue="1">
      <formula>LEN(TRIM(N35))=0</formula>
    </cfRule>
  </conditionalFormatting>
  <conditionalFormatting sqref="N39">
    <cfRule type="containsBlanks" dxfId="18" priority="10" stopIfTrue="1">
      <formula>LEN(TRIM(N39))=0</formula>
    </cfRule>
  </conditionalFormatting>
  <conditionalFormatting sqref="N42">
    <cfRule type="containsBlanks" dxfId="17" priority="9" stopIfTrue="1">
      <formula>LEN(TRIM(N42))=0</formula>
    </cfRule>
  </conditionalFormatting>
  <conditionalFormatting sqref="N40">
    <cfRule type="containsBlanks" dxfId="16" priority="8" stopIfTrue="1">
      <formula>LEN(TRIM(N40))=0</formula>
    </cfRule>
  </conditionalFormatting>
  <conditionalFormatting sqref="N43">
    <cfRule type="containsBlanks" dxfId="15" priority="7" stopIfTrue="1">
      <formula>LEN(TRIM(N43))=0</formula>
    </cfRule>
  </conditionalFormatting>
  <conditionalFormatting sqref="N41">
    <cfRule type="containsBlanks" dxfId="14" priority="6" stopIfTrue="1">
      <formula>LEN(TRIM(N41))=0</formula>
    </cfRule>
  </conditionalFormatting>
  <conditionalFormatting sqref="N38">
    <cfRule type="containsBlanks" dxfId="13" priority="5" stopIfTrue="1">
      <formula>LEN(TRIM(N38))=0</formula>
    </cfRule>
  </conditionalFormatting>
  <conditionalFormatting sqref="N36">
    <cfRule type="containsBlanks" dxfId="12" priority="4" stopIfTrue="1">
      <formula>LEN(TRIM(N36))=0</formula>
    </cfRule>
  </conditionalFormatting>
  <conditionalFormatting sqref="N37">
    <cfRule type="containsBlanks" dxfId="11" priority="3" stopIfTrue="1">
      <formula>LEN(TRIM(N37))=0</formula>
    </cfRule>
  </conditionalFormatting>
  <conditionalFormatting sqref="N115">
    <cfRule type="containsBlanks" dxfId="10" priority="2" stopIfTrue="1">
      <formula>LEN(TRIM(N115))=0</formula>
    </cfRule>
  </conditionalFormatting>
  <conditionalFormatting sqref="N91">
    <cfRule type="containsBlanks" dxfId="9" priority="1" stopIfTrue="1">
      <formula>LEN(TRIM(N91))=0</formula>
    </cfRule>
  </conditionalFormatting>
  <pageMargins left="0.7" right="0.7" top="0.75" bottom="0.75" header="0.3" footer="0.3"/>
  <pageSetup orientation="portrait" verticalDpi="599"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266"/>
  <sheetViews>
    <sheetView zoomScale="90" zoomScaleNormal="90" workbookViewId="0">
      <pane xSplit="3" ySplit="6" topLeftCell="J258" activePane="bottomRight" state="frozen"/>
      <selection pane="topRight" activeCell="D1" sqref="D1"/>
      <selection pane="bottomLeft" activeCell="A7" sqref="A7"/>
      <selection pane="bottomRight" activeCell="L267" sqref="L267"/>
    </sheetView>
  </sheetViews>
  <sheetFormatPr baseColWidth="10" defaultRowHeight="11.25"/>
  <cols>
    <col min="1" max="1" width="32.85546875" style="101" customWidth="1"/>
    <col min="2" max="2" width="19.85546875" style="101" customWidth="1"/>
    <col min="3" max="3" width="19.42578125" style="101" customWidth="1"/>
    <col min="4" max="4" width="20.85546875" style="101" customWidth="1"/>
    <col min="5" max="5" width="36.85546875" style="101" customWidth="1"/>
    <col min="6" max="6" width="15.85546875" style="101" customWidth="1"/>
    <col min="7" max="7" width="23" style="101" customWidth="1"/>
    <col min="8" max="8" width="20" style="17" customWidth="1"/>
    <col min="9" max="9" width="17" style="17" customWidth="1"/>
    <col min="10" max="10" width="16.28515625" style="17" customWidth="1"/>
    <col min="11" max="11" width="15.5703125" style="17" customWidth="1"/>
    <col min="12" max="12" width="17.85546875" style="17" customWidth="1"/>
    <col min="13" max="13" width="14" style="17" customWidth="1"/>
    <col min="14" max="14" width="16.140625" style="17" customWidth="1"/>
    <col min="15" max="15" width="13.7109375" style="17" customWidth="1"/>
    <col min="16" max="16" width="16.85546875" style="17" customWidth="1"/>
    <col min="17" max="17" width="17.85546875" style="17" customWidth="1"/>
    <col min="18" max="251" width="11.42578125" style="17"/>
    <col min="252" max="252" width="44.5703125" style="17" customWidth="1"/>
    <col min="253" max="253" width="28.42578125" style="17" customWidth="1"/>
    <col min="254" max="254" width="27" style="17" customWidth="1"/>
    <col min="255" max="255" width="20.42578125" style="17" customWidth="1"/>
    <col min="256" max="257" width="19" style="17" customWidth="1"/>
    <col min="258" max="258" width="12.42578125" style="17" customWidth="1"/>
    <col min="259" max="260" width="9.7109375" style="17" customWidth="1"/>
    <col min="261" max="261" width="10.140625" style="17" customWidth="1"/>
    <col min="262" max="262" width="24.140625" style="17" customWidth="1"/>
    <col min="263" max="263" width="35.140625" style="17" customWidth="1"/>
    <col min="264" max="507" width="11.42578125" style="17"/>
    <col min="508" max="508" width="44.5703125" style="17" customWidth="1"/>
    <col min="509" max="509" width="28.42578125" style="17" customWidth="1"/>
    <col min="510" max="510" width="27" style="17" customWidth="1"/>
    <col min="511" max="511" width="20.42578125" style="17" customWidth="1"/>
    <col min="512" max="513" width="19" style="17" customWidth="1"/>
    <col min="514" max="514" width="12.42578125" style="17" customWidth="1"/>
    <col min="515" max="516" width="9.7109375" style="17" customWidth="1"/>
    <col min="517" max="517" width="10.140625" style="17" customWidth="1"/>
    <col min="518" max="518" width="24.140625" style="17" customWidth="1"/>
    <col min="519" max="519" width="35.140625" style="17" customWidth="1"/>
    <col min="520" max="763" width="11.42578125" style="17"/>
    <col min="764" max="764" width="44.5703125" style="17" customWidth="1"/>
    <col min="765" max="765" width="28.42578125" style="17" customWidth="1"/>
    <col min="766" max="766" width="27" style="17" customWidth="1"/>
    <col min="767" max="767" width="20.42578125" style="17" customWidth="1"/>
    <col min="768" max="769" width="19" style="17" customWidth="1"/>
    <col min="770" max="770" width="12.42578125" style="17" customWidth="1"/>
    <col min="771" max="772" width="9.7109375" style="17" customWidth="1"/>
    <col min="773" max="773" width="10.140625" style="17" customWidth="1"/>
    <col min="774" max="774" width="24.140625" style="17" customWidth="1"/>
    <col min="775" max="775" width="35.140625" style="17" customWidth="1"/>
    <col min="776" max="1019" width="11.42578125" style="17"/>
    <col min="1020" max="1020" width="44.5703125" style="17" customWidth="1"/>
    <col min="1021" max="1021" width="28.42578125" style="17" customWidth="1"/>
    <col min="1022" max="1022" width="27" style="17" customWidth="1"/>
    <col min="1023" max="1023" width="20.42578125" style="17" customWidth="1"/>
    <col min="1024" max="1025" width="19" style="17" customWidth="1"/>
    <col min="1026" max="1026" width="12.42578125" style="17" customWidth="1"/>
    <col min="1027" max="1028" width="9.7109375" style="17" customWidth="1"/>
    <col min="1029" max="1029" width="10.140625" style="17" customWidth="1"/>
    <col min="1030" max="1030" width="24.140625" style="17" customWidth="1"/>
    <col min="1031" max="1031" width="35.140625" style="17" customWidth="1"/>
    <col min="1032" max="1275" width="11.42578125" style="17"/>
    <col min="1276" max="1276" width="44.5703125" style="17" customWidth="1"/>
    <col min="1277" max="1277" width="28.42578125" style="17" customWidth="1"/>
    <col min="1278" max="1278" width="27" style="17" customWidth="1"/>
    <col min="1279" max="1279" width="20.42578125" style="17" customWidth="1"/>
    <col min="1280" max="1281" width="19" style="17" customWidth="1"/>
    <col min="1282" max="1282" width="12.42578125" style="17" customWidth="1"/>
    <col min="1283" max="1284" width="9.7109375" style="17" customWidth="1"/>
    <col min="1285" max="1285" width="10.140625" style="17" customWidth="1"/>
    <col min="1286" max="1286" width="24.140625" style="17" customWidth="1"/>
    <col min="1287" max="1287" width="35.140625" style="17" customWidth="1"/>
    <col min="1288" max="1531" width="11.42578125" style="17"/>
    <col min="1532" max="1532" width="44.5703125" style="17" customWidth="1"/>
    <col min="1533" max="1533" width="28.42578125" style="17" customWidth="1"/>
    <col min="1534" max="1534" width="27" style="17" customWidth="1"/>
    <col min="1535" max="1535" width="20.42578125" style="17" customWidth="1"/>
    <col min="1536" max="1537" width="19" style="17" customWidth="1"/>
    <col min="1538" max="1538" width="12.42578125" style="17" customWidth="1"/>
    <col min="1539" max="1540" width="9.7109375" style="17" customWidth="1"/>
    <col min="1541" max="1541" width="10.140625" style="17" customWidth="1"/>
    <col min="1542" max="1542" width="24.140625" style="17" customWidth="1"/>
    <col min="1543" max="1543" width="35.140625" style="17" customWidth="1"/>
    <col min="1544" max="1787" width="11.42578125" style="17"/>
    <col min="1788" max="1788" width="44.5703125" style="17" customWidth="1"/>
    <col min="1789" max="1789" width="28.42578125" style="17" customWidth="1"/>
    <col min="1790" max="1790" width="27" style="17" customWidth="1"/>
    <col min="1791" max="1791" width="20.42578125" style="17" customWidth="1"/>
    <col min="1792" max="1793" width="19" style="17" customWidth="1"/>
    <col min="1794" max="1794" width="12.42578125" style="17" customWidth="1"/>
    <col min="1795" max="1796" width="9.7109375" style="17" customWidth="1"/>
    <col min="1797" max="1797" width="10.140625" style="17" customWidth="1"/>
    <col min="1798" max="1798" width="24.140625" style="17" customWidth="1"/>
    <col min="1799" max="1799" width="35.140625" style="17" customWidth="1"/>
    <col min="1800" max="2043" width="11.42578125" style="17"/>
    <col min="2044" max="2044" width="44.5703125" style="17" customWidth="1"/>
    <col min="2045" max="2045" width="28.42578125" style="17" customWidth="1"/>
    <col min="2046" max="2046" width="27" style="17" customWidth="1"/>
    <col min="2047" max="2047" width="20.42578125" style="17" customWidth="1"/>
    <col min="2048" max="2049" width="19" style="17" customWidth="1"/>
    <col min="2050" max="2050" width="12.42578125" style="17" customWidth="1"/>
    <col min="2051" max="2052" width="9.7109375" style="17" customWidth="1"/>
    <col min="2053" max="2053" width="10.140625" style="17" customWidth="1"/>
    <col min="2054" max="2054" width="24.140625" style="17" customWidth="1"/>
    <col min="2055" max="2055" width="35.140625" style="17" customWidth="1"/>
    <col min="2056" max="2299" width="11.42578125" style="17"/>
    <col min="2300" max="2300" width="44.5703125" style="17" customWidth="1"/>
    <col min="2301" max="2301" width="28.42578125" style="17" customWidth="1"/>
    <col min="2302" max="2302" width="27" style="17" customWidth="1"/>
    <col min="2303" max="2303" width="20.42578125" style="17" customWidth="1"/>
    <col min="2304" max="2305" width="19" style="17" customWidth="1"/>
    <col min="2306" max="2306" width="12.42578125" style="17" customWidth="1"/>
    <col min="2307" max="2308" width="9.7109375" style="17" customWidth="1"/>
    <col min="2309" max="2309" width="10.140625" style="17" customWidth="1"/>
    <col min="2310" max="2310" width="24.140625" style="17" customWidth="1"/>
    <col min="2311" max="2311" width="35.140625" style="17" customWidth="1"/>
    <col min="2312" max="2555" width="11.42578125" style="17"/>
    <col min="2556" max="2556" width="44.5703125" style="17" customWidth="1"/>
    <col min="2557" max="2557" width="28.42578125" style="17" customWidth="1"/>
    <col min="2558" max="2558" width="27" style="17" customWidth="1"/>
    <col min="2559" max="2559" width="20.42578125" style="17" customWidth="1"/>
    <col min="2560" max="2561" width="19" style="17" customWidth="1"/>
    <col min="2562" max="2562" width="12.42578125" style="17" customWidth="1"/>
    <col min="2563" max="2564" width="9.7109375" style="17" customWidth="1"/>
    <col min="2565" max="2565" width="10.140625" style="17" customWidth="1"/>
    <col min="2566" max="2566" width="24.140625" style="17" customWidth="1"/>
    <col min="2567" max="2567" width="35.140625" style="17" customWidth="1"/>
    <col min="2568" max="2811" width="11.42578125" style="17"/>
    <col min="2812" max="2812" width="44.5703125" style="17" customWidth="1"/>
    <col min="2813" max="2813" width="28.42578125" style="17" customWidth="1"/>
    <col min="2814" max="2814" width="27" style="17" customWidth="1"/>
    <col min="2815" max="2815" width="20.42578125" style="17" customWidth="1"/>
    <col min="2816" max="2817" width="19" style="17" customWidth="1"/>
    <col min="2818" max="2818" width="12.42578125" style="17" customWidth="1"/>
    <col min="2819" max="2820" width="9.7109375" style="17" customWidth="1"/>
    <col min="2821" max="2821" width="10.140625" style="17" customWidth="1"/>
    <col min="2822" max="2822" width="24.140625" style="17" customWidth="1"/>
    <col min="2823" max="2823" width="35.140625" style="17" customWidth="1"/>
    <col min="2824" max="3067" width="11.42578125" style="17"/>
    <col min="3068" max="3068" width="44.5703125" style="17" customWidth="1"/>
    <col min="3069" max="3069" width="28.42578125" style="17" customWidth="1"/>
    <col min="3070" max="3070" width="27" style="17" customWidth="1"/>
    <col min="3071" max="3071" width="20.42578125" style="17" customWidth="1"/>
    <col min="3072" max="3073" width="19" style="17" customWidth="1"/>
    <col min="3074" max="3074" width="12.42578125" style="17" customWidth="1"/>
    <col min="3075" max="3076" width="9.7109375" style="17" customWidth="1"/>
    <col min="3077" max="3077" width="10.140625" style="17" customWidth="1"/>
    <col min="3078" max="3078" width="24.140625" style="17" customWidth="1"/>
    <col min="3079" max="3079" width="35.140625" style="17" customWidth="1"/>
    <col min="3080" max="3323" width="11.42578125" style="17"/>
    <col min="3324" max="3324" width="44.5703125" style="17" customWidth="1"/>
    <col min="3325" max="3325" width="28.42578125" style="17" customWidth="1"/>
    <col min="3326" max="3326" width="27" style="17" customWidth="1"/>
    <col min="3327" max="3327" width="20.42578125" style="17" customWidth="1"/>
    <col min="3328" max="3329" width="19" style="17" customWidth="1"/>
    <col min="3330" max="3330" width="12.42578125" style="17" customWidth="1"/>
    <col min="3331" max="3332" width="9.7109375" style="17" customWidth="1"/>
    <col min="3333" max="3333" width="10.140625" style="17" customWidth="1"/>
    <col min="3334" max="3334" width="24.140625" style="17" customWidth="1"/>
    <col min="3335" max="3335" width="35.140625" style="17" customWidth="1"/>
    <col min="3336" max="3579" width="11.42578125" style="17"/>
    <col min="3580" max="3580" width="44.5703125" style="17" customWidth="1"/>
    <col min="3581" max="3581" width="28.42578125" style="17" customWidth="1"/>
    <col min="3582" max="3582" width="27" style="17" customWidth="1"/>
    <col min="3583" max="3583" width="20.42578125" style="17" customWidth="1"/>
    <col min="3584" max="3585" width="19" style="17" customWidth="1"/>
    <col min="3586" max="3586" width="12.42578125" style="17" customWidth="1"/>
    <col min="3587" max="3588" width="9.7109375" style="17" customWidth="1"/>
    <col min="3589" max="3589" width="10.140625" style="17" customWidth="1"/>
    <col min="3590" max="3590" width="24.140625" style="17" customWidth="1"/>
    <col min="3591" max="3591" width="35.140625" style="17" customWidth="1"/>
    <col min="3592" max="3835" width="11.42578125" style="17"/>
    <col min="3836" max="3836" width="44.5703125" style="17" customWidth="1"/>
    <col min="3837" max="3837" width="28.42578125" style="17" customWidth="1"/>
    <col min="3838" max="3838" width="27" style="17" customWidth="1"/>
    <col min="3839" max="3839" width="20.42578125" style="17" customWidth="1"/>
    <col min="3840" max="3841" width="19" style="17" customWidth="1"/>
    <col min="3842" max="3842" width="12.42578125" style="17" customWidth="1"/>
    <col min="3843" max="3844" width="9.7109375" style="17" customWidth="1"/>
    <col min="3845" max="3845" width="10.140625" style="17" customWidth="1"/>
    <col min="3846" max="3846" width="24.140625" style="17" customWidth="1"/>
    <col min="3847" max="3847" width="35.140625" style="17" customWidth="1"/>
    <col min="3848" max="4091" width="11.42578125" style="17"/>
    <col min="4092" max="4092" width="44.5703125" style="17" customWidth="1"/>
    <col min="4093" max="4093" width="28.42578125" style="17" customWidth="1"/>
    <col min="4094" max="4094" width="27" style="17" customWidth="1"/>
    <col min="4095" max="4095" width="20.42578125" style="17" customWidth="1"/>
    <col min="4096" max="4097" width="19" style="17" customWidth="1"/>
    <col min="4098" max="4098" width="12.42578125" style="17" customWidth="1"/>
    <col min="4099" max="4100" width="9.7109375" style="17" customWidth="1"/>
    <col min="4101" max="4101" width="10.140625" style="17" customWidth="1"/>
    <col min="4102" max="4102" width="24.140625" style="17" customWidth="1"/>
    <col min="4103" max="4103" width="35.140625" style="17" customWidth="1"/>
    <col min="4104" max="4347" width="11.42578125" style="17"/>
    <col min="4348" max="4348" width="44.5703125" style="17" customWidth="1"/>
    <col min="4349" max="4349" width="28.42578125" style="17" customWidth="1"/>
    <col min="4350" max="4350" width="27" style="17" customWidth="1"/>
    <col min="4351" max="4351" width="20.42578125" style="17" customWidth="1"/>
    <col min="4352" max="4353" width="19" style="17" customWidth="1"/>
    <col min="4354" max="4354" width="12.42578125" style="17" customWidth="1"/>
    <col min="4355" max="4356" width="9.7109375" style="17" customWidth="1"/>
    <col min="4357" max="4357" width="10.140625" style="17" customWidth="1"/>
    <col min="4358" max="4358" width="24.140625" style="17" customWidth="1"/>
    <col min="4359" max="4359" width="35.140625" style="17" customWidth="1"/>
    <col min="4360" max="4603" width="11.42578125" style="17"/>
    <col min="4604" max="4604" width="44.5703125" style="17" customWidth="1"/>
    <col min="4605" max="4605" width="28.42578125" style="17" customWidth="1"/>
    <col min="4606" max="4606" width="27" style="17" customWidth="1"/>
    <col min="4607" max="4607" width="20.42578125" style="17" customWidth="1"/>
    <col min="4608" max="4609" width="19" style="17" customWidth="1"/>
    <col min="4610" max="4610" width="12.42578125" style="17" customWidth="1"/>
    <col min="4611" max="4612" width="9.7109375" style="17" customWidth="1"/>
    <col min="4613" max="4613" width="10.140625" style="17" customWidth="1"/>
    <col min="4614" max="4614" width="24.140625" style="17" customWidth="1"/>
    <col min="4615" max="4615" width="35.140625" style="17" customWidth="1"/>
    <col min="4616" max="4859" width="11.42578125" style="17"/>
    <col min="4860" max="4860" width="44.5703125" style="17" customWidth="1"/>
    <col min="4861" max="4861" width="28.42578125" style="17" customWidth="1"/>
    <col min="4862" max="4862" width="27" style="17" customWidth="1"/>
    <col min="4863" max="4863" width="20.42578125" style="17" customWidth="1"/>
    <col min="4864" max="4865" width="19" style="17" customWidth="1"/>
    <col min="4866" max="4866" width="12.42578125" style="17" customWidth="1"/>
    <col min="4867" max="4868" width="9.7109375" style="17" customWidth="1"/>
    <col min="4869" max="4869" width="10.140625" style="17" customWidth="1"/>
    <col min="4870" max="4870" width="24.140625" style="17" customWidth="1"/>
    <col min="4871" max="4871" width="35.140625" style="17" customWidth="1"/>
    <col min="4872" max="5115" width="11.42578125" style="17"/>
    <col min="5116" max="5116" width="44.5703125" style="17" customWidth="1"/>
    <col min="5117" max="5117" width="28.42578125" style="17" customWidth="1"/>
    <col min="5118" max="5118" width="27" style="17" customWidth="1"/>
    <col min="5119" max="5119" width="20.42578125" style="17" customWidth="1"/>
    <col min="5120" max="5121" width="19" style="17" customWidth="1"/>
    <col min="5122" max="5122" width="12.42578125" style="17" customWidth="1"/>
    <col min="5123" max="5124" width="9.7109375" style="17" customWidth="1"/>
    <col min="5125" max="5125" width="10.140625" style="17" customWidth="1"/>
    <col min="5126" max="5126" width="24.140625" style="17" customWidth="1"/>
    <col min="5127" max="5127" width="35.140625" style="17" customWidth="1"/>
    <col min="5128" max="5371" width="11.42578125" style="17"/>
    <col min="5372" max="5372" width="44.5703125" style="17" customWidth="1"/>
    <col min="5373" max="5373" width="28.42578125" style="17" customWidth="1"/>
    <col min="5374" max="5374" width="27" style="17" customWidth="1"/>
    <col min="5375" max="5375" width="20.42578125" style="17" customWidth="1"/>
    <col min="5376" max="5377" width="19" style="17" customWidth="1"/>
    <col min="5378" max="5378" width="12.42578125" style="17" customWidth="1"/>
    <col min="5379" max="5380" width="9.7109375" style="17" customWidth="1"/>
    <col min="5381" max="5381" width="10.140625" style="17" customWidth="1"/>
    <col min="5382" max="5382" width="24.140625" style="17" customWidth="1"/>
    <col min="5383" max="5383" width="35.140625" style="17" customWidth="1"/>
    <col min="5384" max="5627" width="11.42578125" style="17"/>
    <col min="5628" max="5628" width="44.5703125" style="17" customWidth="1"/>
    <col min="5629" max="5629" width="28.42578125" style="17" customWidth="1"/>
    <col min="5630" max="5630" width="27" style="17" customWidth="1"/>
    <col min="5631" max="5631" width="20.42578125" style="17" customWidth="1"/>
    <col min="5632" max="5633" width="19" style="17" customWidth="1"/>
    <col min="5634" max="5634" width="12.42578125" style="17" customWidth="1"/>
    <col min="5635" max="5636" width="9.7109375" style="17" customWidth="1"/>
    <col min="5637" max="5637" width="10.140625" style="17" customWidth="1"/>
    <col min="5638" max="5638" width="24.140625" style="17" customWidth="1"/>
    <col min="5639" max="5639" width="35.140625" style="17" customWidth="1"/>
    <col min="5640" max="5883" width="11.42578125" style="17"/>
    <col min="5884" max="5884" width="44.5703125" style="17" customWidth="1"/>
    <col min="5885" max="5885" width="28.42578125" style="17" customWidth="1"/>
    <col min="5886" max="5886" width="27" style="17" customWidth="1"/>
    <col min="5887" max="5887" width="20.42578125" style="17" customWidth="1"/>
    <col min="5888" max="5889" width="19" style="17" customWidth="1"/>
    <col min="5890" max="5890" width="12.42578125" style="17" customWidth="1"/>
    <col min="5891" max="5892" width="9.7109375" style="17" customWidth="1"/>
    <col min="5893" max="5893" width="10.140625" style="17" customWidth="1"/>
    <col min="5894" max="5894" width="24.140625" style="17" customWidth="1"/>
    <col min="5895" max="5895" width="35.140625" style="17" customWidth="1"/>
    <col min="5896" max="6139" width="11.42578125" style="17"/>
    <col min="6140" max="6140" width="44.5703125" style="17" customWidth="1"/>
    <col min="6141" max="6141" width="28.42578125" style="17" customWidth="1"/>
    <col min="6142" max="6142" width="27" style="17" customWidth="1"/>
    <col min="6143" max="6143" width="20.42578125" style="17" customWidth="1"/>
    <col min="6144" max="6145" width="19" style="17" customWidth="1"/>
    <col min="6146" max="6146" width="12.42578125" style="17" customWidth="1"/>
    <col min="6147" max="6148" width="9.7109375" style="17" customWidth="1"/>
    <col min="6149" max="6149" width="10.140625" style="17" customWidth="1"/>
    <col min="6150" max="6150" width="24.140625" style="17" customWidth="1"/>
    <col min="6151" max="6151" width="35.140625" style="17" customWidth="1"/>
    <col min="6152" max="6395" width="11.42578125" style="17"/>
    <col min="6396" max="6396" width="44.5703125" style="17" customWidth="1"/>
    <col min="6397" max="6397" width="28.42578125" style="17" customWidth="1"/>
    <col min="6398" max="6398" width="27" style="17" customWidth="1"/>
    <col min="6399" max="6399" width="20.42578125" style="17" customWidth="1"/>
    <col min="6400" max="6401" width="19" style="17" customWidth="1"/>
    <col min="6402" max="6402" width="12.42578125" style="17" customWidth="1"/>
    <col min="6403" max="6404" width="9.7109375" style="17" customWidth="1"/>
    <col min="6405" max="6405" width="10.140625" style="17" customWidth="1"/>
    <col min="6406" max="6406" width="24.140625" style="17" customWidth="1"/>
    <col min="6407" max="6407" width="35.140625" style="17" customWidth="1"/>
    <col min="6408" max="6651" width="11.42578125" style="17"/>
    <col min="6652" max="6652" width="44.5703125" style="17" customWidth="1"/>
    <col min="6653" max="6653" width="28.42578125" style="17" customWidth="1"/>
    <col min="6654" max="6654" width="27" style="17" customWidth="1"/>
    <col min="6655" max="6655" width="20.42578125" style="17" customWidth="1"/>
    <col min="6656" max="6657" width="19" style="17" customWidth="1"/>
    <col min="6658" max="6658" width="12.42578125" style="17" customWidth="1"/>
    <col min="6659" max="6660" width="9.7109375" style="17" customWidth="1"/>
    <col min="6661" max="6661" width="10.140625" style="17" customWidth="1"/>
    <col min="6662" max="6662" width="24.140625" style="17" customWidth="1"/>
    <col min="6663" max="6663" width="35.140625" style="17" customWidth="1"/>
    <col min="6664" max="6907" width="11.42578125" style="17"/>
    <col min="6908" max="6908" width="44.5703125" style="17" customWidth="1"/>
    <col min="6909" max="6909" width="28.42578125" style="17" customWidth="1"/>
    <col min="6910" max="6910" width="27" style="17" customWidth="1"/>
    <col min="6911" max="6911" width="20.42578125" style="17" customWidth="1"/>
    <col min="6912" max="6913" width="19" style="17" customWidth="1"/>
    <col min="6914" max="6914" width="12.42578125" style="17" customWidth="1"/>
    <col min="6915" max="6916" width="9.7109375" style="17" customWidth="1"/>
    <col min="6917" max="6917" width="10.140625" style="17" customWidth="1"/>
    <col min="6918" max="6918" width="24.140625" style="17" customWidth="1"/>
    <col min="6919" max="6919" width="35.140625" style="17" customWidth="1"/>
    <col min="6920" max="7163" width="11.42578125" style="17"/>
    <col min="7164" max="7164" width="44.5703125" style="17" customWidth="1"/>
    <col min="7165" max="7165" width="28.42578125" style="17" customWidth="1"/>
    <col min="7166" max="7166" width="27" style="17" customWidth="1"/>
    <col min="7167" max="7167" width="20.42578125" style="17" customWidth="1"/>
    <col min="7168" max="7169" width="19" style="17" customWidth="1"/>
    <col min="7170" max="7170" width="12.42578125" style="17" customWidth="1"/>
    <col min="7171" max="7172" width="9.7109375" style="17" customWidth="1"/>
    <col min="7173" max="7173" width="10.140625" style="17" customWidth="1"/>
    <col min="7174" max="7174" width="24.140625" style="17" customWidth="1"/>
    <col min="7175" max="7175" width="35.140625" style="17" customWidth="1"/>
    <col min="7176" max="7419" width="11.42578125" style="17"/>
    <col min="7420" max="7420" width="44.5703125" style="17" customWidth="1"/>
    <col min="7421" max="7421" width="28.42578125" style="17" customWidth="1"/>
    <col min="7422" max="7422" width="27" style="17" customWidth="1"/>
    <col min="7423" max="7423" width="20.42578125" style="17" customWidth="1"/>
    <col min="7424" max="7425" width="19" style="17" customWidth="1"/>
    <col min="7426" max="7426" width="12.42578125" style="17" customWidth="1"/>
    <col min="7427" max="7428" width="9.7109375" style="17" customWidth="1"/>
    <col min="7429" max="7429" width="10.140625" style="17" customWidth="1"/>
    <col min="7430" max="7430" width="24.140625" style="17" customWidth="1"/>
    <col min="7431" max="7431" width="35.140625" style="17" customWidth="1"/>
    <col min="7432" max="7675" width="11.42578125" style="17"/>
    <col min="7676" max="7676" width="44.5703125" style="17" customWidth="1"/>
    <col min="7677" max="7677" width="28.42578125" style="17" customWidth="1"/>
    <col min="7678" max="7678" width="27" style="17" customWidth="1"/>
    <col min="7679" max="7679" width="20.42578125" style="17" customWidth="1"/>
    <col min="7680" max="7681" width="19" style="17" customWidth="1"/>
    <col min="7682" max="7682" width="12.42578125" style="17" customWidth="1"/>
    <col min="7683" max="7684" width="9.7109375" style="17" customWidth="1"/>
    <col min="7685" max="7685" width="10.140625" style="17" customWidth="1"/>
    <col min="7686" max="7686" width="24.140625" style="17" customWidth="1"/>
    <col min="7687" max="7687" width="35.140625" style="17" customWidth="1"/>
    <col min="7688" max="7931" width="11.42578125" style="17"/>
    <col min="7932" max="7932" width="44.5703125" style="17" customWidth="1"/>
    <col min="7933" max="7933" width="28.42578125" style="17" customWidth="1"/>
    <col min="7934" max="7934" width="27" style="17" customWidth="1"/>
    <col min="7935" max="7935" width="20.42578125" style="17" customWidth="1"/>
    <col min="7936" max="7937" width="19" style="17" customWidth="1"/>
    <col min="7938" max="7938" width="12.42578125" style="17" customWidth="1"/>
    <col min="7939" max="7940" width="9.7109375" style="17" customWidth="1"/>
    <col min="7941" max="7941" width="10.140625" style="17" customWidth="1"/>
    <col min="7942" max="7942" width="24.140625" style="17" customWidth="1"/>
    <col min="7943" max="7943" width="35.140625" style="17" customWidth="1"/>
    <col min="7944" max="8187" width="11.42578125" style="17"/>
    <col min="8188" max="8188" width="44.5703125" style="17" customWidth="1"/>
    <col min="8189" max="8189" width="28.42578125" style="17" customWidth="1"/>
    <col min="8190" max="8190" width="27" style="17" customWidth="1"/>
    <col min="8191" max="8191" width="20.42578125" style="17" customWidth="1"/>
    <col min="8192" max="8193" width="19" style="17" customWidth="1"/>
    <col min="8194" max="8194" width="12.42578125" style="17" customWidth="1"/>
    <col min="8195" max="8196" width="9.7109375" style="17" customWidth="1"/>
    <col min="8197" max="8197" width="10.140625" style="17" customWidth="1"/>
    <col min="8198" max="8198" width="24.140625" style="17" customWidth="1"/>
    <col min="8199" max="8199" width="35.140625" style="17" customWidth="1"/>
    <col min="8200" max="8443" width="11.42578125" style="17"/>
    <col min="8444" max="8444" width="44.5703125" style="17" customWidth="1"/>
    <col min="8445" max="8445" width="28.42578125" style="17" customWidth="1"/>
    <col min="8446" max="8446" width="27" style="17" customWidth="1"/>
    <col min="8447" max="8447" width="20.42578125" style="17" customWidth="1"/>
    <col min="8448" max="8449" width="19" style="17" customWidth="1"/>
    <col min="8450" max="8450" width="12.42578125" style="17" customWidth="1"/>
    <col min="8451" max="8452" width="9.7109375" style="17" customWidth="1"/>
    <col min="8453" max="8453" width="10.140625" style="17" customWidth="1"/>
    <col min="8454" max="8454" width="24.140625" style="17" customWidth="1"/>
    <col min="8455" max="8455" width="35.140625" style="17" customWidth="1"/>
    <col min="8456" max="8699" width="11.42578125" style="17"/>
    <col min="8700" max="8700" width="44.5703125" style="17" customWidth="1"/>
    <col min="8701" max="8701" width="28.42578125" style="17" customWidth="1"/>
    <col min="8702" max="8702" width="27" style="17" customWidth="1"/>
    <col min="8703" max="8703" width="20.42578125" style="17" customWidth="1"/>
    <col min="8704" max="8705" width="19" style="17" customWidth="1"/>
    <col min="8706" max="8706" width="12.42578125" style="17" customWidth="1"/>
    <col min="8707" max="8708" width="9.7109375" style="17" customWidth="1"/>
    <col min="8709" max="8709" width="10.140625" style="17" customWidth="1"/>
    <col min="8710" max="8710" width="24.140625" style="17" customWidth="1"/>
    <col min="8711" max="8711" width="35.140625" style="17" customWidth="1"/>
    <col min="8712" max="8955" width="11.42578125" style="17"/>
    <col min="8956" max="8956" width="44.5703125" style="17" customWidth="1"/>
    <col min="8957" max="8957" width="28.42578125" style="17" customWidth="1"/>
    <col min="8958" max="8958" width="27" style="17" customWidth="1"/>
    <col min="8959" max="8959" width="20.42578125" style="17" customWidth="1"/>
    <col min="8960" max="8961" width="19" style="17" customWidth="1"/>
    <col min="8962" max="8962" width="12.42578125" style="17" customWidth="1"/>
    <col min="8963" max="8964" width="9.7109375" style="17" customWidth="1"/>
    <col min="8965" max="8965" width="10.140625" style="17" customWidth="1"/>
    <col min="8966" max="8966" width="24.140625" style="17" customWidth="1"/>
    <col min="8967" max="8967" width="35.140625" style="17" customWidth="1"/>
    <col min="8968" max="9211" width="11.42578125" style="17"/>
    <col min="9212" max="9212" width="44.5703125" style="17" customWidth="1"/>
    <col min="9213" max="9213" width="28.42578125" style="17" customWidth="1"/>
    <col min="9214" max="9214" width="27" style="17" customWidth="1"/>
    <col min="9215" max="9215" width="20.42578125" style="17" customWidth="1"/>
    <col min="9216" max="9217" width="19" style="17" customWidth="1"/>
    <col min="9218" max="9218" width="12.42578125" style="17" customWidth="1"/>
    <col min="9219" max="9220" width="9.7109375" style="17" customWidth="1"/>
    <col min="9221" max="9221" width="10.140625" style="17" customWidth="1"/>
    <col min="9222" max="9222" width="24.140625" style="17" customWidth="1"/>
    <col min="9223" max="9223" width="35.140625" style="17" customWidth="1"/>
    <col min="9224" max="9467" width="11.42578125" style="17"/>
    <col min="9468" max="9468" width="44.5703125" style="17" customWidth="1"/>
    <col min="9469" max="9469" width="28.42578125" style="17" customWidth="1"/>
    <col min="9470" max="9470" width="27" style="17" customWidth="1"/>
    <col min="9471" max="9471" width="20.42578125" style="17" customWidth="1"/>
    <col min="9472" max="9473" width="19" style="17" customWidth="1"/>
    <col min="9474" max="9474" width="12.42578125" style="17" customWidth="1"/>
    <col min="9475" max="9476" width="9.7109375" style="17" customWidth="1"/>
    <col min="9477" max="9477" width="10.140625" style="17" customWidth="1"/>
    <col min="9478" max="9478" width="24.140625" style="17" customWidth="1"/>
    <col min="9479" max="9479" width="35.140625" style="17" customWidth="1"/>
    <col min="9480" max="9723" width="11.42578125" style="17"/>
    <col min="9724" max="9724" width="44.5703125" style="17" customWidth="1"/>
    <col min="9725" max="9725" width="28.42578125" style="17" customWidth="1"/>
    <col min="9726" max="9726" width="27" style="17" customWidth="1"/>
    <col min="9727" max="9727" width="20.42578125" style="17" customWidth="1"/>
    <col min="9728" max="9729" width="19" style="17" customWidth="1"/>
    <col min="9730" max="9730" width="12.42578125" style="17" customWidth="1"/>
    <col min="9731" max="9732" width="9.7109375" style="17" customWidth="1"/>
    <col min="9733" max="9733" width="10.140625" style="17" customWidth="1"/>
    <col min="9734" max="9734" width="24.140625" style="17" customWidth="1"/>
    <col min="9735" max="9735" width="35.140625" style="17" customWidth="1"/>
    <col min="9736" max="9979" width="11.42578125" style="17"/>
    <col min="9980" max="9980" width="44.5703125" style="17" customWidth="1"/>
    <col min="9981" max="9981" width="28.42578125" style="17" customWidth="1"/>
    <col min="9982" max="9982" width="27" style="17" customWidth="1"/>
    <col min="9983" max="9983" width="20.42578125" style="17" customWidth="1"/>
    <col min="9984" max="9985" width="19" style="17" customWidth="1"/>
    <col min="9986" max="9986" width="12.42578125" style="17" customWidth="1"/>
    <col min="9987" max="9988" width="9.7109375" style="17" customWidth="1"/>
    <col min="9989" max="9989" width="10.140625" style="17" customWidth="1"/>
    <col min="9990" max="9990" width="24.140625" style="17" customWidth="1"/>
    <col min="9991" max="9991" width="35.140625" style="17" customWidth="1"/>
    <col min="9992" max="10235" width="11.42578125" style="17"/>
    <col min="10236" max="10236" width="44.5703125" style="17" customWidth="1"/>
    <col min="10237" max="10237" width="28.42578125" style="17" customWidth="1"/>
    <col min="10238" max="10238" width="27" style="17" customWidth="1"/>
    <col min="10239" max="10239" width="20.42578125" style="17" customWidth="1"/>
    <col min="10240" max="10241" width="19" style="17" customWidth="1"/>
    <col min="10242" max="10242" width="12.42578125" style="17" customWidth="1"/>
    <col min="10243" max="10244" width="9.7109375" style="17" customWidth="1"/>
    <col min="10245" max="10245" width="10.140625" style="17" customWidth="1"/>
    <col min="10246" max="10246" width="24.140625" style="17" customWidth="1"/>
    <col min="10247" max="10247" width="35.140625" style="17" customWidth="1"/>
    <col min="10248" max="10491" width="11.42578125" style="17"/>
    <col min="10492" max="10492" width="44.5703125" style="17" customWidth="1"/>
    <col min="10493" max="10493" width="28.42578125" style="17" customWidth="1"/>
    <col min="10494" max="10494" width="27" style="17" customWidth="1"/>
    <col min="10495" max="10495" width="20.42578125" style="17" customWidth="1"/>
    <col min="10496" max="10497" width="19" style="17" customWidth="1"/>
    <col min="10498" max="10498" width="12.42578125" style="17" customWidth="1"/>
    <col min="10499" max="10500" width="9.7109375" style="17" customWidth="1"/>
    <col min="10501" max="10501" width="10.140625" style="17" customWidth="1"/>
    <col min="10502" max="10502" width="24.140625" style="17" customWidth="1"/>
    <col min="10503" max="10503" width="35.140625" style="17" customWidth="1"/>
    <col min="10504" max="10747" width="11.42578125" style="17"/>
    <col min="10748" max="10748" width="44.5703125" style="17" customWidth="1"/>
    <col min="10749" max="10749" width="28.42578125" style="17" customWidth="1"/>
    <col min="10750" max="10750" width="27" style="17" customWidth="1"/>
    <col min="10751" max="10751" width="20.42578125" style="17" customWidth="1"/>
    <col min="10752" max="10753" width="19" style="17" customWidth="1"/>
    <col min="10754" max="10754" width="12.42578125" style="17" customWidth="1"/>
    <col min="10755" max="10756" width="9.7109375" style="17" customWidth="1"/>
    <col min="10757" max="10757" width="10.140625" style="17" customWidth="1"/>
    <col min="10758" max="10758" width="24.140625" style="17" customWidth="1"/>
    <col min="10759" max="10759" width="35.140625" style="17" customWidth="1"/>
    <col min="10760" max="11003" width="11.42578125" style="17"/>
    <col min="11004" max="11004" width="44.5703125" style="17" customWidth="1"/>
    <col min="11005" max="11005" width="28.42578125" style="17" customWidth="1"/>
    <col min="11006" max="11006" width="27" style="17" customWidth="1"/>
    <col min="11007" max="11007" width="20.42578125" style="17" customWidth="1"/>
    <col min="11008" max="11009" width="19" style="17" customWidth="1"/>
    <col min="11010" max="11010" width="12.42578125" style="17" customWidth="1"/>
    <col min="11011" max="11012" width="9.7109375" style="17" customWidth="1"/>
    <col min="11013" max="11013" width="10.140625" style="17" customWidth="1"/>
    <col min="11014" max="11014" width="24.140625" style="17" customWidth="1"/>
    <col min="11015" max="11015" width="35.140625" style="17" customWidth="1"/>
    <col min="11016" max="11259" width="11.42578125" style="17"/>
    <col min="11260" max="11260" width="44.5703125" style="17" customWidth="1"/>
    <col min="11261" max="11261" width="28.42578125" style="17" customWidth="1"/>
    <col min="11262" max="11262" width="27" style="17" customWidth="1"/>
    <col min="11263" max="11263" width="20.42578125" style="17" customWidth="1"/>
    <col min="11264" max="11265" width="19" style="17" customWidth="1"/>
    <col min="11266" max="11266" width="12.42578125" style="17" customWidth="1"/>
    <col min="11267" max="11268" width="9.7109375" style="17" customWidth="1"/>
    <col min="11269" max="11269" width="10.140625" style="17" customWidth="1"/>
    <col min="11270" max="11270" width="24.140625" style="17" customWidth="1"/>
    <col min="11271" max="11271" width="35.140625" style="17" customWidth="1"/>
    <col min="11272" max="11515" width="11.42578125" style="17"/>
    <col min="11516" max="11516" width="44.5703125" style="17" customWidth="1"/>
    <col min="11517" max="11517" width="28.42578125" style="17" customWidth="1"/>
    <col min="11518" max="11518" width="27" style="17" customWidth="1"/>
    <col min="11519" max="11519" width="20.42578125" style="17" customWidth="1"/>
    <col min="11520" max="11521" width="19" style="17" customWidth="1"/>
    <col min="11522" max="11522" width="12.42578125" style="17" customWidth="1"/>
    <col min="11523" max="11524" width="9.7109375" style="17" customWidth="1"/>
    <col min="11525" max="11525" width="10.140625" style="17" customWidth="1"/>
    <col min="11526" max="11526" width="24.140625" style="17" customWidth="1"/>
    <col min="11527" max="11527" width="35.140625" style="17" customWidth="1"/>
    <col min="11528" max="11771" width="11.42578125" style="17"/>
    <col min="11772" max="11772" width="44.5703125" style="17" customWidth="1"/>
    <col min="11773" max="11773" width="28.42578125" style="17" customWidth="1"/>
    <col min="11774" max="11774" width="27" style="17" customWidth="1"/>
    <col min="11775" max="11775" width="20.42578125" style="17" customWidth="1"/>
    <col min="11776" max="11777" width="19" style="17" customWidth="1"/>
    <col min="11778" max="11778" width="12.42578125" style="17" customWidth="1"/>
    <col min="11779" max="11780" width="9.7109375" style="17" customWidth="1"/>
    <col min="11781" max="11781" width="10.140625" style="17" customWidth="1"/>
    <col min="11782" max="11782" width="24.140625" style="17" customWidth="1"/>
    <col min="11783" max="11783" width="35.140625" style="17" customWidth="1"/>
    <col min="11784" max="12027" width="11.42578125" style="17"/>
    <col min="12028" max="12028" width="44.5703125" style="17" customWidth="1"/>
    <col min="12029" max="12029" width="28.42578125" style="17" customWidth="1"/>
    <col min="12030" max="12030" width="27" style="17" customWidth="1"/>
    <col min="12031" max="12031" width="20.42578125" style="17" customWidth="1"/>
    <col min="12032" max="12033" width="19" style="17" customWidth="1"/>
    <col min="12034" max="12034" width="12.42578125" style="17" customWidth="1"/>
    <col min="12035" max="12036" width="9.7109375" style="17" customWidth="1"/>
    <col min="12037" max="12037" width="10.140625" style="17" customWidth="1"/>
    <col min="12038" max="12038" width="24.140625" style="17" customWidth="1"/>
    <col min="12039" max="12039" width="35.140625" style="17" customWidth="1"/>
    <col min="12040" max="12283" width="11.42578125" style="17"/>
    <col min="12284" max="12284" width="44.5703125" style="17" customWidth="1"/>
    <col min="12285" max="12285" width="28.42578125" style="17" customWidth="1"/>
    <col min="12286" max="12286" width="27" style="17" customWidth="1"/>
    <col min="12287" max="12287" width="20.42578125" style="17" customWidth="1"/>
    <col min="12288" max="12289" width="19" style="17" customWidth="1"/>
    <col min="12290" max="12290" width="12.42578125" style="17" customWidth="1"/>
    <col min="12291" max="12292" width="9.7109375" style="17" customWidth="1"/>
    <col min="12293" max="12293" width="10.140625" style="17" customWidth="1"/>
    <col min="12294" max="12294" width="24.140625" style="17" customWidth="1"/>
    <col min="12295" max="12295" width="35.140625" style="17" customWidth="1"/>
    <col min="12296" max="12539" width="11.42578125" style="17"/>
    <col min="12540" max="12540" width="44.5703125" style="17" customWidth="1"/>
    <col min="12541" max="12541" width="28.42578125" style="17" customWidth="1"/>
    <col min="12542" max="12542" width="27" style="17" customWidth="1"/>
    <col min="12543" max="12543" width="20.42578125" style="17" customWidth="1"/>
    <col min="12544" max="12545" width="19" style="17" customWidth="1"/>
    <col min="12546" max="12546" width="12.42578125" style="17" customWidth="1"/>
    <col min="12547" max="12548" width="9.7109375" style="17" customWidth="1"/>
    <col min="12549" max="12549" width="10.140625" style="17" customWidth="1"/>
    <col min="12550" max="12550" width="24.140625" style="17" customWidth="1"/>
    <col min="12551" max="12551" width="35.140625" style="17" customWidth="1"/>
    <col min="12552" max="12795" width="11.42578125" style="17"/>
    <col min="12796" max="12796" width="44.5703125" style="17" customWidth="1"/>
    <col min="12797" max="12797" width="28.42578125" style="17" customWidth="1"/>
    <col min="12798" max="12798" width="27" style="17" customWidth="1"/>
    <col min="12799" max="12799" width="20.42578125" style="17" customWidth="1"/>
    <col min="12800" max="12801" width="19" style="17" customWidth="1"/>
    <col min="12802" max="12802" width="12.42578125" style="17" customWidth="1"/>
    <col min="12803" max="12804" width="9.7109375" style="17" customWidth="1"/>
    <col min="12805" max="12805" width="10.140625" style="17" customWidth="1"/>
    <col min="12806" max="12806" width="24.140625" style="17" customWidth="1"/>
    <col min="12807" max="12807" width="35.140625" style="17" customWidth="1"/>
    <col min="12808" max="13051" width="11.42578125" style="17"/>
    <col min="13052" max="13052" width="44.5703125" style="17" customWidth="1"/>
    <col min="13053" max="13053" width="28.42578125" style="17" customWidth="1"/>
    <col min="13054" max="13054" width="27" style="17" customWidth="1"/>
    <col min="13055" max="13055" width="20.42578125" style="17" customWidth="1"/>
    <col min="13056" max="13057" width="19" style="17" customWidth="1"/>
    <col min="13058" max="13058" width="12.42578125" style="17" customWidth="1"/>
    <col min="13059" max="13060" width="9.7109375" style="17" customWidth="1"/>
    <col min="13061" max="13061" width="10.140625" style="17" customWidth="1"/>
    <col min="13062" max="13062" width="24.140625" style="17" customWidth="1"/>
    <col min="13063" max="13063" width="35.140625" style="17" customWidth="1"/>
    <col min="13064" max="13307" width="11.42578125" style="17"/>
    <col min="13308" max="13308" width="44.5703125" style="17" customWidth="1"/>
    <col min="13309" max="13309" width="28.42578125" style="17" customWidth="1"/>
    <col min="13310" max="13310" width="27" style="17" customWidth="1"/>
    <col min="13311" max="13311" width="20.42578125" style="17" customWidth="1"/>
    <col min="13312" max="13313" width="19" style="17" customWidth="1"/>
    <col min="13314" max="13314" width="12.42578125" style="17" customWidth="1"/>
    <col min="13315" max="13316" width="9.7109375" style="17" customWidth="1"/>
    <col min="13317" max="13317" width="10.140625" style="17" customWidth="1"/>
    <col min="13318" max="13318" width="24.140625" style="17" customWidth="1"/>
    <col min="13319" max="13319" width="35.140625" style="17" customWidth="1"/>
    <col min="13320" max="13563" width="11.42578125" style="17"/>
    <col min="13564" max="13564" width="44.5703125" style="17" customWidth="1"/>
    <col min="13565" max="13565" width="28.42578125" style="17" customWidth="1"/>
    <col min="13566" max="13566" width="27" style="17" customWidth="1"/>
    <col min="13567" max="13567" width="20.42578125" style="17" customWidth="1"/>
    <col min="13568" max="13569" width="19" style="17" customWidth="1"/>
    <col min="13570" max="13570" width="12.42578125" style="17" customWidth="1"/>
    <col min="13571" max="13572" width="9.7109375" style="17" customWidth="1"/>
    <col min="13573" max="13573" width="10.140625" style="17" customWidth="1"/>
    <col min="13574" max="13574" width="24.140625" style="17" customWidth="1"/>
    <col min="13575" max="13575" width="35.140625" style="17" customWidth="1"/>
    <col min="13576" max="13819" width="11.42578125" style="17"/>
    <col min="13820" max="13820" width="44.5703125" style="17" customWidth="1"/>
    <col min="13821" max="13821" width="28.42578125" style="17" customWidth="1"/>
    <col min="13822" max="13822" width="27" style="17" customWidth="1"/>
    <col min="13823" max="13823" width="20.42578125" style="17" customWidth="1"/>
    <col min="13824" max="13825" width="19" style="17" customWidth="1"/>
    <col min="13826" max="13826" width="12.42578125" style="17" customWidth="1"/>
    <col min="13827" max="13828" width="9.7109375" style="17" customWidth="1"/>
    <col min="13829" max="13829" width="10.140625" style="17" customWidth="1"/>
    <col min="13830" max="13830" width="24.140625" style="17" customWidth="1"/>
    <col min="13831" max="13831" width="35.140625" style="17" customWidth="1"/>
    <col min="13832" max="14075" width="11.42578125" style="17"/>
    <col min="14076" max="14076" width="44.5703125" style="17" customWidth="1"/>
    <col min="14077" max="14077" width="28.42578125" style="17" customWidth="1"/>
    <col min="14078" max="14078" width="27" style="17" customWidth="1"/>
    <col min="14079" max="14079" width="20.42578125" style="17" customWidth="1"/>
    <col min="14080" max="14081" width="19" style="17" customWidth="1"/>
    <col min="14082" max="14082" width="12.42578125" style="17" customWidth="1"/>
    <col min="14083" max="14084" width="9.7109375" style="17" customWidth="1"/>
    <col min="14085" max="14085" width="10.140625" style="17" customWidth="1"/>
    <col min="14086" max="14086" width="24.140625" style="17" customWidth="1"/>
    <col min="14087" max="14087" width="35.140625" style="17" customWidth="1"/>
    <col min="14088" max="14331" width="11.42578125" style="17"/>
    <col min="14332" max="14332" width="44.5703125" style="17" customWidth="1"/>
    <col min="14333" max="14333" width="28.42578125" style="17" customWidth="1"/>
    <col min="14334" max="14334" width="27" style="17" customWidth="1"/>
    <col min="14335" max="14335" width="20.42578125" style="17" customWidth="1"/>
    <col min="14336" max="14337" width="19" style="17" customWidth="1"/>
    <col min="14338" max="14338" width="12.42578125" style="17" customWidth="1"/>
    <col min="14339" max="14340" width="9.7109375" style="17" customWidth="1"/>
    <col min="14341" max="14341" width="10.140625" style="17" customWidth="1"/>
    <col min="14342" max="14342" width="24.140625" style="17" customWidth="1"/>
    <col min="14343" max="14343" width="35.140625" style="17" customWidth="1"/>
    <col min="14344" max="14587" width="11.42578125" style="17"/>
    <col min="14588" max="14588" width="44.5703125" style="17" customWidth="1"/>
    <col min="14589" max="14589" width="28.42578125" style="17" customWidth="1"/>
    <col min="14590" max="14590" width="27" style="17" customWidth="1"/>
    <col min="14591" max="14591" width="20.42578125" style="17" customWidth="1"/>
    <col min="14592" max="14593" width="19" style="17" customWidth="1"/>
    <col min="14594" max="14594" width="12.42578125" style="17" customWidth="1"/>
    <col min="14595" max="14596" width="9.7109375" style="17" customWidth="1"/>
    <col min="14597" max="14597" width="10.140625" style="17" customWidth="1"/>
    <col min="14598" max="14598" width="24.140625" style="17" customWidth="1"/>
    <col min="14599" max="14599" width="35.140625" style="17" customWidth="1"/>
    <col min="14600" max="14843" width="11.42578125" style="17"/>
    <col min="14844" max="14844" width="44.5703125" style="17" customWidth="1"/>
    <col min="14845" max="14845" width="28.42578125" style="17" customWidth="1"/>
    <col min="14846" max="14846" width="27" style="17" customWidth="1"/>
    <col min="14847" max="14847" width="20.42578125" style="17" customWidth="1"/>
    <col min="14848" max="14849" width="19" style="17" customWidth="1"/>
    <col min="14850" max="14850" width="12.42578125" style="17" customWidth="1"/>
    <col min="14851" max="14852" width="9.7109375" style="17" customWidth="1"/>
    <col min="14853" max="14853" width="10.140625" style="17" customWidth="1"/>
    <col min="14854" max="14854" width="24.140625" style="17" customWidth="1"/>
    <col min="14855" max="14855" width="35.140625" style="17" customWidth="1"/>
    <col min="14856" max="15099" width="11.42578125" style="17"/>
    <col min="15100" max="15100" width="44.5703125" style="17" customWidth="1"/>
    <col min="15101" max="15101" width="28.42578125" style="17" customWidth="1"/>
    <col min="15102" max="15102" width="27" style="17" customWidth="1"/>
    <col min="15103" max="15103" width="20.42578125" style="17" customWidth="1"/>
    <col min="15104" max="15105" width="19" style="17" customWidth="1"/>
    <col min="15106" max="15106" width="12.42578125" style="17" customWidth="1"/>
    <col min="15107" max="15108" width="9.7109375" style="17" customWidth="1"/>
    <col min="15109" max="15109" width="10.140625" style="17" customWidth="1"/>
    <col min="15110" max="15110" width="24.140625" style="17" customWidth="1"/>
    <col min="15111" max="15111" width="35.140625" style="17" customWidth="1"/>
    <col min="15112" max="15355" width="11.42578125" style="17"/>
    <col min="15356" max="15356" width="44.5703125" style="17" customWidth="1"/>
    <col min="15357" max="15357" width="28.42578125" style="17" customWidth="1"/>
    <col min="15358" max="15358" width="27" style="17" customWidth="1"/>
    <col min="15359" max="15359" width="20.42578125" style="17" customWidth="1"/>
    <col min="15360" max="15361" width="19" style="17" customWidth="1"/>
    <col min="15362" max="15362" width="12.42578125" style="17" customWidth="1"/>
    <col min="15363" max="15364" width="9.7109375" style="17" customWidth="1"/>
    <col min="15365" max="15365" width="10.140625" style="17" customWidth="1"/>
    <col min="15366" max="15366" width="24.140625" style="17" customWidth="1"/>
    <col min="15367" max="15367" width="35.140625" style="17" customWidth="1"/>
    <col min="15368" max="15611" width="11.42578125" style="17"/>
    <col min="15612" max="15612" width="44.5703125" style="17" customWidth="1"/>
    <col min="15613" max="15613" width="28.42578125" style="17" customWidth="1"/>
    <col min="15614" max="15614" width="27" style="17" customWidth="1"/>
    <col min="15615" max="15615" width="20.42578125" style="17" customWidth="1"/>
    <col min="15616" max="15617" width="19" style="17" customWidth="1"/>
    <col min="15618" max="15618" width="12.42578125" style="17" customWidth="1"/>
    <col min="15619" max="15620" width="9.7109375" style="17" customWidth="1"/>
    <col min="15621" max="15621" width="10.140625" style="17" customWidth="1"/>
    <col min="15622" max="15622" width="24.140625" style="17" customWidth="1"/>
    <col min="15623" max="15623" width="35.140625" style="17" customWidth="1"/>
    <col min="15624" max="15867" width="11.42578125" style="17"/>
    <col min="15868" max="15868" width="44.5703125" style="17" customWidth="1"/>
    <col min="15869" max="15869" width="28.42578125" style="17" customWidth="1"/>
    <col min="15870" max="15870" width="27" style="17" customWidth="1"/>
    <col min="15871" max="15871" width="20.42578125" style="17" customWidth="1"/>
    <col min="15872" max="15873" width="19" style="17" customWidth="1"/>
    <col min="15874" max="15874" width="12.42578125" style="17" customWidth="1"/>
    <col min="15875" max="15876" width="9.7109375" style="17" customWidth="1"/>
    <col min="15877" max="15877" width="10.140625" style="17" customWidth="1"/>
    <col min="15878" max="15878" width="24.140625" style="17" customWidth="1"/>
    <col min="15879" max="15879" width="35.140625" style="17" customWidth="1"/>
    <col min="15880" max="16123" width="11.42578125" style="17"/>
    <col min="16124" max="16124" width="44.5703125" style="17" customWidth="1"/>
    <col min="16125" max="16125" width="28.42578125" style="17" customWidth="1"/>
    <col min="16126" max="16126" width="27" style="17" customWidth="1"/>
    <col min="16127" max="16127" width="20.42578125" style="17" customWidth="1"/>
    <col min="16128" max="16129" width="19" style="17" customWidth="1"/>
    <col min="16130" max="16130" width="12.42578125" style="17" customWidth="1"/>
    <col min="16131" max="16132" width="9.7109375" style="17" customWidth="1"/>
    <col min="16133" max="16133" width="10.140625" style="17" customWidth="1"/>
    <col min="16134" max="16134" width="24.140625" style="17" customWidth="1"/>
    <col min="16135" max="16135" width="35.140625" style="17" customWidth="1"/>
    <col min="16136" max="16384" width="11.42578125" style="17"/>
  </cols>
  <sheetData>
    <row r="1" spans="1:17" ht="22.5" customHeight="1">
      <c r="A1" s="587" t="s">
        <v>1860</v>
      </c>
    </row>
    <row r="2" spans="1:17" ht="28.5" customHeight="1">
      <c r="A2" s="1608" t="s">
        <v>307</v>
      </c>
      <c r="B2" s="1608"/>
      <c r="C2" s="1608"/>
      <c r="D2" s="1608"/>
      <c r="E2" s="1608"/>
      <c r="F2" s="1608"/>
      <c r="G2" s="1608"/>
      <c r="H2" s="1608"/>
      <c r="I2" s="1608"/>
      <c r="J2" s="1608"/>
      <c r="K2" s="1608"/>
      <c r="L2" s="1608"/>
      <c r="M2" s="1813"/>
      <c r="N2" s="1813"/>
      <c r="O2" s="1813"/>
      <c r="P2" s="1813"/>
      <c r="Q2" s="1813"/>
    </row>
    <row r="3" spans="1:17" ht="21.75" customHeight="1">
      <c r="A3" s="1609" t="s">
        <v>308</v>
      </c>
      <c r="B3" s="1609"/>
      <c r="C3" s="1609"/>
      <c r="D3" s="1609"/>
      <c r="E3" s="1609"/>
      <c r="F3" s="1609"/>
      <c r="G3" s="1609"/>
      <c r="H3" s="1609"/>
      <c r="I3" s="1609"/>
      <c r="J3" s="1609"/>
      <c r="K3" s="1609"/>
      <c r="L3" s="1609"/>
      <c r="M3" s="1813"/>
      <c r="N3" s="1813"/>
      <c r="O3" s="1813"/>
      <c r="P3" s="1813"/>
      <c r="Q3" s="1813"/>
    </row>
    <row r="4" spans="1:17" ht="21.75" customHeight="1">
      <c r="A4" s="1609" t="s">
        <v>1861</v>
      </c>
      <c r="B4" s="1609"/>
      <c r="C4" s="1609"/>
      <c r="D4" s="1609"/>
      <c r="E4" s="1609"/>
      <c r="F4" s="1609"/>
      <c r="G4" s="1609"/>
      <c r="H4" s="1609"/>
      <c r="I4" s="1609"/>
      <c r="J4" s="1609"/>
      <c r="K4" s="1609"/>
      <c r="L4" s="1609"/>
      <c r="M4" s="1813"/>
      <c r="N4" s="1813"/>
      <c r="O4" s="1813"/>
      <c r="P4" s="1813"/>
      <c r="Q4" s="1813"/>
    </row>
    <row r="5" spans="1:17" ht="23.25" customHeight="1">
      <c r="A5" s="102"/>
      <c r="B5" s="102"/>
      <c r="C5" s="102"/>
      <c r="D5" s="102"/>
      <c r="E5" s="102"/>
      <c r="F5" s="102"/>
      <c r="G5" s="102"/>
      <c r="J5" s="1610" t="s">
        <v>228</v>
      </c>
      <c r="K5" s="1610"/>
      <c r="L5" s="1610"/>
      <c r="M5" s="1814" t="s">
        <v>1862</v>
      </c>
      <c r="N5" s="1814"/>
      <c r="O5" s="1814"/>
      <c r="P5" s="1814"/>
      <c r="Q5" s="1814"/>
    </row>
    <row r="6" spans="1:17" ht="48.75" customHeight="1">
      <c r="A6" s="1553" t="s">
        <v>48</v>
      </c>
      <c r="B6" s="1553" t="s">
        <v>49</v>
      </c>
      <c r="C6" s="1553" t="s">
        <v>229</v>
      </c>
      <c r="D6" s="1536" t="s">
        <v>230</v>
      </c>
      <c r="E6" s="1553" t="s">
        <v>131</v>
      </c>
      <c r="F6" s="1553" t="s">
        <v>231</v>
      </c>
      <c r="G6" s="1553" t="s">
        <v>232</v>
      </c>
      <c r="H6" s="1553" t="s">
        <v>233</v>
      </c>
      <c r="I6" s="1553" t="s">
        <v>234</v>
      </c>
      <c r="J6" s="1553"/>
      <c r="K6" s="1553"/>
      <c r="L6" s="1553"/>
      <c r="M6" s="1812" t="s">
        <v>234</v>
      </c>
      <c r="N6" s="1812"/>
      <c r="O6" s="1812"/>
      <c r="P6" s="1812"/>
      <c r="Q6" s="1812"/>
    </row>
    <row r="7" spans="1:17" ht="25.5" customHeight="1">
      <c r="A7" s="1553"/>
      <c r="B7" s="1553"/>
      <c r="C7" s="1553"/>
      <c r="D7" s="1556"/>
      <c r="E7" s="1553"/>
      <c r="F7" s="1553"/>
      <c r="G7" s="1553"/>
      <c r="H7" s="1553"/>
      <c r="I7" s="1557" t="s">
        <v>236</v>
      </c>
      <c r="J7" s="1558"/>
      <c r="K7" s="1574" t="s">
        <v>237</v>
      </c>
      <c r="L7" s="1721"/>
      <c r="M7" s="1726"/>
      <c r="N7" s="1726"/>
      <c r="O7" s="1726"/>
      <c r="P7" s="1726"/>
      <c r="Q7" s="1726"/>
    </row>
    <row r="8" spans="1:17" ht="57.75" customHeight="1">
      <c r="A8" s="1553"/>
      <c r="B8" s="1553"/>
      <c r="C8" s="1553"/>
      <c r="D8" s="697" t="s">
        <v>238</v>
      </c>
      <c r="E8" s="1553"/>
      <c r="F8" s="1553"/>
      <c r="G8" s="1553"/>
      <c r="H8" s="1553"/>
      <c r="I8" s="104" t="s">
        <v>239</v>
      </c>
      <c r="J8" s="104" t="s">
        <v>240</v>
      </c>
      <c r="K8" s="104" t="s">
        <v>239</v>
      </c>
      <c r="L8" s="538" t="s">
        <v>240</v>
      </c>
      <c r="M8" s="539" t="s">
        <v>997</v>
      </c>
      <c r="N8" s="539" t="s">
        <v>233</v>
      </c>
      <c r="O8" s="539" t="s">
        <v>998</v>
      </c>
      <c r="P8" s="539" t="s">
        <v>999</v>
      </c>
      <c r="Q8" s="539" t="s">
        <v>1000</v>
      </c>
    </row>
    <row r="9" spans="1:17" s="101" customFormat="1" ht="57.75" customHeight="1">
      <c r="A9" s="540" t="s">
        <v>1001</v>
      </c>
      <c r="B9" s="541">
        <f>+B10+B18+B26+B38+B42+B52+B58+B62+B24</f>
        <v>3984500000</v>
      </c>
      <c r="C9" s="106"/>
      <c r="D9" s="106"/>
      <c r="E9" s="106"/>
      <c r="F9" s="106"/>
      <c r="G9" s="106"/>
      <c r="H9" s="106"/>
      <c r="I9" s="106"/>
      <c r="J9" s="106"/>
      <c r="K9" s="106"/>
      <c r="L9" s="127"/>
      <c r="M9" s="121"/>
      <c r="N9" s="121"/>
      <c r="O9" s="121"/>
      <c r="P9" s="121"/>
      <c r="Q9" s="121"/>
    </row>
    <row r="10" spans="1:17">
      <c r="A10" s="106" t="s">
        <v>1002</v>
      </c>
      <c r="B10" s="343">
        <f>SUM(F11:F17)</f>
        <v>746247183</v>
      </c>
      <c r="C10" s="124"/>
      <c r="D10" s="124"/>
      <c r="E10" s="106"/>
      <c r="F10" s="106"/>
      <c r="G10" s="106"/>
      <c r="H10" s="106"/>
      <c r="I10" s="106"/>
      <c r="J10" s="106"/>
      <c r="K10" s="106"/>
      <c r="L10" s="127"/>
      <c r="M10" s="121"/>
      <c r="N10" s="121"/>
      <c r="O10" s="121"/>
      <c r="P10" s="121"/>
      <c r="Q10" s="121"/>
    </row>
    <row r="11" spans="1:17" ht="33.75">
      <c r="A11" s="109"/>
      <c r="B11" s="477"/>
      <c r="C11" s="109" t="s">
        <v>1003</v>
      </c>
      <c r="D11" s="109" t="s">
        <v>37</v>
      </c>
      <c r="E11" s="542" t="s">
        <v>1004</v>
      </c>
      <c r="F11" s="543">
        <v>89999965</v>
      </c>
      <c r="G11" s="544" t="s">
        <v>4</v>
      </c>
      <c r="H11" s="544">
        <v>42093</v>
      </c>
      <c r="I11" s="109" t="s">
        <v>1005</v>
      </c>
      <c r="J11" s="109" t="s">
        <v>1005</v>
      </c>
      <c r="K11" s="109" t="s">
        <v>69</v>
      </c>
      <c r="L11" s="543" t="s">
        <v>1863</v>
      </c>
      <c r="M11" s="544">
        <v>42037</v>
      </c>
      <c r="N11" s="544">
        <v>42093</v>
      </c>
      <c r="O11" s="1005">
        <v>1</v>
      </c>
      <c r="P11" s="1006">
        <v>1</v>
      </c>
      <c r="Q11" s="121" t="s">
        <v>1864</v>
      </c>
    </row>
    <row r="12" spans="1:17" ht="35.25" customHeight="1">
      <c r="A12" s="109"/>
      <c r="B12" s="477"/>
      <c r="C12" s="109" t="s">
        <v>789</v>
      </c>
      <c r="D12" s="109" t="s">
        <v>37</v>
      </c>
      <c r="E12" s="542" t="s">
        <v>1006</v>
      </c>
      <c r="F12" s="543">
        <v>124999907</v>
      </c>
      <c r="G12" s="544" t="s">
        <v>4</v>
      </c>
      <c r="H12" s="544">
        <v>42153</v>
      </c>
      <c r="I12" s="109" t="s">
        <v>1005</v>
      </c>
      <c r="J12" s="109" t="s">
        <v>1005</v>
      </c>
      <c r="K12" s="109" t="s">
        <v>70</v>
      </c>
      <c r="L12" s="543" t="s">
        <v>1865</v>
      </c>
      <c r="M12" s="544">
        <v>42037</v>
      </c>
      <c r="N12" s="544">
        <v>42185</v>
      </c>
      <c r="O12" s="1005">
        <v>1</v>
      </c>
      <c r="P12" s="1006">
        <v>1</v>
      </c>
      <c r="Q12" s="121" t="s">
        <v>1864</v>
      </c>
    </row>
    <row r="13" spans="1:17" ht="37.5" customHeight="1">
      <c r="A13" s="109"/>
      <c r="B13" s="477"/>
      <c r="C13" s="109" t="s">
        <v>761</v>
      </c>
      <c r="D13" s="109" t="s">
        <v>37</v>
      </c>
      <c r="E13" s="542" t="s">
        <v>1007</v>
      </c>
      <c r="F13" s="543">
        <v>124999907</v>
      </c>
      <c r="G13" s="544" t="s">
        <v>4</v>
      </c>
      <c r="H13" s="544">
        <v>42093</v>
      </c>
      <c r="I13" s="109" t="s">
        <v>1005</v>
      </c>
      <c r="J13" s="109" t="s">
        <v>1005</v>
      </c>
      <c r="K13" s="109" t="s">
        <v>69</v>
      </c>
      <c r="L13" s="543" t="s">
        <v>1866</v>
      </c>
      <c r="M13" s="544">
        <v>42037</v>
      </c>
      <c r="N13" s="544">
        <v>42093</v>
      </c>
      <c r="O13" s="1005">
        <v>1</v>
      </c>
      <c r="P13" s="1006">
        <v>1</v>
      </c>
      <c r="Q13" s="121" t="s">
        <v>1864</v>
      </c>
    </row>
    <row r="14" spans="1:17" ht="36.75" customHeight="1">
      <c r="A14" s="109"/>
      <c r="B14" s="477"/>
      <c r="C14" s="109" t="s">
        <v>1008</v>
      </c>
      <c r="D14" s="109" t="s">
        <v>37</v>
      </c>
      <c r="E14" s="542" t="s">
        <v>1009</v>
      </c>
      <c r="F14" s="543">
        <v>124999907</v>
      </c>
      <c r="G14" s="544" t="s">
        <v>4</v>
      </c>
      <c r="H14" s="544">
        <v>42093</v>
      </c>
      <c r="I14" s="109" t="s">
        <v>1005</v>
      </c>
      <c r="J14" s="109" t="s">
        <v>1005</v>
      </c>
      <c r="K14" s="109" t="s">
        <v>69</v>
      </c>
      <c r="L14" s="543" t="s">
        <v>1866</v>
      </c>
      <c r="M14" s="544">
        <v>42047</v>
      </c>
      <c r="N14" s="544">
        <v>42093</v>
      </c>
      <c r="O14" s="1005">
        <v>1</v>
      </c>
      <c r="P14" s="1006">
        <v>1</v>
      </c>
      <c r="Q14" s="121" t="s">
        <v>1864</v>
      </c>
    </row>
    <row r="15" spans="1:17" ht="36" customHeight="1">
      <c r="A15" s="109"/>
      <c r="B15" s="477"/>
      <c r="C15" s="109" t="s">
        <v>694</v>
      </c>
      <c r="D15" s="109" t="s">
        <v>37</v>
      </c>
      <c r="E15" s="542" t="s">
        <v>1010</v>
      </c>
      <c r="F15" s="543">
        <v>96000313</v>
      </c>
      <c r="G15" s="544" t="s">
        <v>13</v>
      </c>
      <c r="H15" s="546">
        <v>42153</v>
      </c>
      <c r="I15" s="109" t="s">
        <v>1005</v>
      </c>
      <c r="J15" s="109" t="s">
        <v>1005</v>
      </c>
      <c r="K15" s="1007" t="s">
        <v>70</v>
      </c>
      <c r="L15" s="543" t="s">
        <v>1867</v>
      </c>
      <c r="M15" s="544">
        <v>42115</v>
      </c>
      <c r="N15" s="546">
        <v>42185</v>
      </c>
      <c r="O15" s="1005">
        <v>1</v>
      </c>
      <c r="P15" s="1006">
        <v>1</v>
      </c>
      <c r="Q15" s="121" t="s">
        <v>1864</v>
      </c>
    </row>
    <row r="16" spans="1:17" ht="48" customHeight="1">
      <c r="A16" s="109"/>
      <c r="B16" s="477"/>
      <c r="C16" s="109" t="s">
        <v>80</v>
      </c>
      <c r="D16" s="109" t="s">
        <v>37</v>
      </c>
      <c r="E16" s="542" t="s">
        <v>1011</v>
      </c>
      <c r="F16" s="543">
        <v>128000000</v>
      </c>
      <c r="G16" s="544" t="s">
        <v>13</v>
      </c>
      <c r="H16" s="546">
        <v>42247</v>
      </c>
      <c r="I16" s="109" t="s">
        <v>1005</v>
      </c>
      <c r="J16" s="109" t="s">
        <v>1005</v>
      </c>
      <c r="K16" s="1007" t="s">
        <v>90</v>
      </c>
      <c r="L16" s="543">
        <v>128000000</v>
      </c>
      <c r="M16" s="544">
        <v>42115</v>
      </c>
      <c r="N16" s="546">
        <v>42216</v>
      </c>
      <c r="O16" s="1005">
        <v>1</v>
      </c>
      <c r="P16" s="1006">
        <v>1</v>
      </c>
      <c r="Q16" s="121" t="s">
        <v>1864</v>
      </c>
    </row>
    <row r="17" spans="1:17" ht="48" customHeight="1">
      <c r="A17" s="109"/>
      <c r="B17" s="477"/>
      <c r="C17" s="109" t="s">
        <v>1013</v>
      </c>
      <c r="D17" s="109" t="s">
        <v>37</v>
      </c>
      <c r="E17" s="542" t="s">
        <v>1868</v>
      </c>
      <c r="F17" s="543">
        <f>60000000-2752816</f>
        <v>57247184</v>
      </c>
      <c r="G17" s="544" t="s">
        <v>79</v>
      </c>
      <c r="H17" s="546">
        <v>42352</v>
      </c>
      <c r="I17" s="109" t="s">
        <v>1005</v>
      </c>
      <c r="J17" s="109" t="s">
        <v>1005</v>
      </c>
      <c r="K17" s="1007" t="s">
        <v>79</v>
      </c>
      <c r="L17" s="543">
        <f>60000000-2752816</f>
        <v>57247184</v>
      </c>
      <c r="M17" s="544">
        <v>42347</v>
      </c>
      <c r="N17" s="546">
        <v>42352</v>
      </c>
      <c r="O17" s="1006">
        <v>1</v>
      </c>
      <c r="P17" s="1006">
        <v>1</v>
      </c>
      <c r="Q17" s="547" t="s">
        <v>1864</v>
      </c>
    </row>
    <row r="18" spans="1:17">
      <c r="A18" s="548" t="s">
        <v>142</v>
      </c>
      <c r="B18" s="477">
        <f>SUM(F19:F23)</f>
        <v>330886416</v>
      </c>
      <c r="C18" s="109"/>
      <c r="D18" s="109"/>
      <c r="E18" s="542"/>
      <c r="F18" s="543"/>
      <c r="G18" s="109"/>
      <c r="H18" s="546"/>
      <c r="I18" s="109"/>
      <c r="J18" s="109"/>
      <c r="K18" s="109"/>
      <c r="L18" s="549"/>
      <c r="M18" s="121"/>
      <c r="N18" s="121"/>
      <c r="O18" s="121"/>
      <c r="P18" s="121"/>
      <c r="Q18" s="121"/>
    </row>
    <row r="19" spans="1:17" ht="33.75">
      <c r="A19" s="109"/>
      <c r="B19" s="477"/>
      <c r="C19" s="109" t="s">
        <v>1003</v>
      </c>
      <c r="D19" s="109" t="s">
        <v>37</v>
      </c>
      <c r="E19" s="542" t="s">
        <v>1012</v>
      </c>
      <c r="F19" s="543">
        <v>125000000</v>
      </c>
      <c r="G19" s="544" t="s">
        <v>4</v>
      </c>
      <c r="H19" s="546">
        <v>42093</v>
      </c>
      <c r="I19" s="109" t="s">
        <v>1005</v>
      </c>
      <c r="J19" s="109" t="s">
        <v>1005</v>
      </c>
      <c r="K19" s="109" t="s">
        <v>69</v>
      </c>
      <c r="L19" s="543" t="s">
        <v>1869</v>
      </c>
      <c r="M19" s="544">
        <v>42037</v>
      </c>
      <c r="N19" s="546">
        <v>42093</v>
      </c>
      <c r="O19" s="1005">
        <v>1</v>
      </c>
      <c r="P19" s="1006">
        <v>1</v>
      </c>
      <c r="Q19" s="121" t="s">
        <v>1864</v>
      </c>
    </row>
    <row r="20" spans="1:17" ht="37.5" customHeight="1">
      <c r="A20" s="109"/>
      <c r="B20" s="477"/>
      <c r="C20" s="109" t="s">
        <v>1013</v>
      </c>
      <c r="D20" s="109" t="s">
        <v>37</v>
      </c>
      <c r="E20" s="542" t="s">
        <v>1014</v>
      </c>
      <c r="F20" s="543">
        <v>125000000</v>
      </c>
      <c r="G20" s="544" t="s">
        <v>4</v>
      </c>
      <c r="H20" s="546">
        <v>42093</v>
      </c>
      <c r="I20" s="109" t="s">
        <v>1005</v>
      </c>
      <c r="J20" s="109" t="s">
        <v>1005</v>
      </c>
      <c r="K20" s="109" t="s">
        <v>69</v>
      </c>
      <c r="L20" s="543" t="s">
        <v>1870</v>
      </c>
      <c r="M20" s="544">
        <v>42037</v>
      </c>
      <c r="N20" s="546">
        <v>42093</v>
      </c>
      <c r="O20" s="1005">
        <v>1</v>
      </c>
      <c r="P20" s="1006">
        <v>1</v>
      </c>
      <c r="Q20" s="121" t="s">
        <v>1864</v>
      </c>
    </row>
    <row r="21" spans="1:17" ht="33.75">
      <c r="A21" s="109"/>
      <c r="B21" s="477"/>
      <c r="C21" s="109" t="s">
        <v>1008</v>
      </c>
      <c r="D21" s="109" t="s">
        <v>37</v>
      </c>
      <c r="E21" s="542" t="s">
        <v>1015</v>
      </c>
      <c r="F21" s="543">
        <v>45000000</v>
      </c>
      <c r="G21" s="544" t="s">
        <v>4</v>
      </c>
      <c r="H21" s="546">
        <v>42066</v>
      </c>
      <c r="I21" s="109" t="s">
        <v>1005</v>
      </c>
      <c r="J21" s="109" t="s">
        <v>1005</v>
      </c>
      <c r="K21" s="109" t="s">
        <v>36</v>
      </c>
      <c r="L21" s="543" t="s">
        <v>1871</v>
      </c>
      <c r="M21" s="544">
        <v>42037</v>
      </c>
      <c r="N21" s="546">
        <v>42066</v>
      </c>
      <c r="O21" s="1005">
        <v>1</v>
      </c>
      <c r="P21" s="1006">
        <v>1</v>
      </c>
      <c r="Q21" s="121" t="s">
        <v>1864</v>
      </c>
    </row>
    <row r="22" spans="1:17" ht="47.25" customHeight="1">
      <c r="A22" s="109"/>
      <c r="B22" s="477"/>
      <c r="C22" s="109" t="s">
        <v>80</v>
      </c>
      <c r="D22" s="109" t="s">
        <v>37</v>
      </c>
      <c r="E22" s="542" t="s">
        <v>1016</v>
      </c>
      <c r="F22" s="543">
        <v>15000000</v>
      </c>
      <c r="G22" s="544" t="s">
        <v>13</v>
      </c>
      <c r="H22" s="546">
        <v>42153</v>
      </c>
      <c r="I22" s="109" t="s">
        <v>1005</v>
      </c>
      <c r="J22" s="109" t="s">
        <v>1005</v>
      </c>
      <c r="K22" s="109" t="s">
        <v>69</v>
      </c>
      <c r="L22" s="543" t="s">
        <v>1872</v>
      </c>
      <c r="M22" s="546">
        <v>42101</v>
      </c>
      <c r="N22" s="546">
        <v>42129</v>
      </c>
      <c r="O22" s="1005">
        <v>1</v>
      </c>
      <c r="P22" s="1006">
        <v>1</v>
      </c>
      <c r="Q22" s="121" t="s">
        <v>1864</v>
      </c>
    </row>
    <row r="23" spans="1:17" ht="47.25" customHeight="1">
      <c r="A23" s="109"/>
      <c r="B23" s="477"/>
      <c r="C23" s="109" t="s">
        <v>1013</v>
      </c>
      <c r="D23" s="109" t="s">
        <v>37</v>
      </c>
      <c r="E23" s="542" t="s">
        <v>1873</v>
      </c>
      <c r="F23" s="543">
        <v>20886416</v>
      </c>
      <c r="G23" s="544" t="s">
        <v>79</v>
      </c>
      <c r="H23" s="546">
        <v>42352</v>
      </c>
      <c r="I23" s="109" t="s">
        <v>1005</v>
      </c>
      <c r="J23" s="109" t="s">
        <v>1005</v>
      </c>
      <c r="K23" s="1007" t="s">
        <v>79</v>
      </c>
      <c r="L23" s="543">
        <v>20886416</v>
      </c>
      <c r="M23" s="544">
        <v>42347</v>
      </c>
      <c r="N23" s="546">
        <v>42352</v>
      </c>
      <c r="O23" s="1006">
        <v>1</v>
      </c>
      <c r="P23" s="1006">
        <v>1</v>
      </c>
      <c r="Q23" s="547" t="s">
        <v>1864</v>
      </c>
    </row>
    <row r="24" spans="1:17">
      <c r="A24" s="548" t="s">
        <v>1874</v>
      </c>
      <c r="B24" s="543">
        <v>34860557</v>
      </c>
      <c r="C24" s="109"/>
      <c r="D24" s="109"/>
      <c r="E24" s="542"/>
      <c r="F24" s="543"/>
      <c r="G24" s="544"/>
      <c r="H24" s="546"/>
      <c r="I24" s="109"/>
      <c r="J24" s="109"/>
      <c r="K24" s="109"/>
      <c r="L24" s="1008"/>
      <c r="M24" s="546"/>
      <c r="N24" s="546"/>
      <c r="O24" s="121"/>
      <c r="P24" s="121"/>
      <c r="Q24" s="547"/>
    </row>
    <row r="25" spans="1:17" s="1011" customFormat="1" ht="49.5" customHeight="1">
      <c r="A25" s="1007"/>
      <c r="B25" s="543"/>
      <c r="C25" s="1007" t="s">
        <v>1008</v>
      </c>
      <c r="D25" s="1007" t="s">
        <v>37</v>
      </c>
      <c r="E25" s="1009" t="s">
        <v>1875</v>
      </c>
      <c r="F25" s="543">
        <v>34860557</v>
      </c>
      <c r="G25" s="1007" t="s">
        <v>36</v>
      </c>
      <c r="H25" s="1010">
        <v>42173</v>
      </c>
      <c r="I25" s="1007" t="s">
        <v>1005</v>
      </c>
      <c r="J25" s="1007" t="s">
        <v>1005</v>
      </c>
      <c r="K25" s="1007" t="s">
        <v>70</v>
      </c>
      <c r="L25" s="543" t="s">
        <v>1876</v>
      </c>
      <c r="M25" s="1010">
        <v>42158</v>
      </c>
      <c r="N25" s="1010">
        <v>42173</v>
      </c>
      <c r="O25" s="1005">
        <v>1</v>
      </c>
      <c r="P25" s="1006">
        <v>1</v>
      </c>
      <c r="Q25" s="121" t="s">
        <v>1864</v>
      </c>
    </row>
    <row r="26" spans="1:17" ht="22.5">
      <c r="A26" s="476" t="s">
        <v>143</v>
      </c>
      <c r="B26" s="477">
        <f>SUM(F27:F37)</f>
        <v>996113584</v>
      </c>
      <c r="C26" s="109"/>
      <c r="D26" s="109"/>
      <c r="E26" s="542"/>
      <c r="F26" s="543"/>
      <c r="G26" s="109"/>
      <c r="H26" s="546"/>
      <c r="I26" s="109"/>
      <c r="J26" s="109"/>
      <c r="K26" s="109"/>
      <c r="L26" s="549"/>
      <c r="M26" s="121"/>
      <c r="N26" s="546"/>
      <c r="O26" s="121"/>
      <c r="P26" s="121"/>
      <c r="Q26" s="121"/>
    </row>
    <row r="27" spans="1:17" ht="53.25" customHeight="1">
      <c r="A27" s="109"/>
      <c r="B27" s="477"/>
      <c r="C27" s="109" t="s">
        <v>78</v>
      </c>
      <c r="D27" s="109" t="s">
        <v>37</v>
      </c>
      <c r="E27" s="542" t="s">
        <v>1017</v>
      </c>
      <c r="F27" s="543">
        <v>124999907</v>
      </c>
      <c r="G27" s="544" t="s">
        <v>4</v>
      </c>
      <c r="H27" s="546">
        <v>42095</v>
      </c>
      <c r="I27" s="109" t="s">
        <v>1005</v>
      </c>
      <c r="J27" s="109" t="s">
        <v>1005</v>
      </c>
      <c r="K27" s="109" t="s">
        <v>69</v>
      </c>
      <c r="L27" s="543" t="s">
        <v>1877</v>
      </c>
      <c r="M27" s="546">
        <v>42038</v>
      </c>
      <c r="N27" s="546">
        <v>42095</v>
      </c>
      <c r="O27" s="1005">
        <v>1</v>
      </c>
      <c r="P27" s="1006">
        <v>1</v>
      </c>
      <c r="Q27" s="121" t="s">
        <v>1864</v>
      </c>
    </row>
    <row r="28" spans="1:17" ht="49.5" customHeight="1">
      <c r="A28" s="109"/>
      <c r="B28" s="477"/>
      <c r="C28" s="109" t="s">
        <v>761</v>
      </c>
      <c r="D28" s="109" t="s">
        <v>37</v>
      </c>
      <c r="E28" s="542" t="s">
        <v>1018</v>
      </c>
      <c r="F28" s="543">
        <f>99000797-5886416</f>
        <v>93114381</v>
      </c>
      <c r="G28" s="544" t="s">
        <v>4</v>
      </c>
      <c r="H28" s="546">
        <v>42153</v>
      </c>
      <c r="I28" s="109" t="s">
        <v>1005</v>
      </c>
      <c r="J28" s="109" t="s">
        <v>1005</v>
      </c>
      <c r="K28" s="1007" t="s">
        <v>70</v>
      </c>
      <c r="L28" s="543">
        <f>99000797-5886416</f>
        <v>93114381</v>
      </c>
      <c r="M28" s="546">
        <v>42038</v>
      </c>
      <c r="N28" s="546">
        <v>42178</v>
      </c>
      <c r="O28" s="1005">
        <v>1</v>
      </c>
      <c r="P28" s="1006">
        <v>1</v>
      </c>
      <c r="Q28" s="121" t="s">
        <v>1864</v>
      </c>
    </row>
    <row r="29" spans="1:17" ht="49.5" customHeight="1">
      <c r="A29" s="109"/>
      <c r="B29" s="477"/>
      <c r="C29" s="109" t="s">
        <v>78</v>
      </c>
      <c r="D29" s="109" t="s">
        <v>37</v>
      </c>
      <c r="E29" s="542" t="s">
        <v>1019</v>
      </c>
      <c r="F29" s="543">
        <v>124999907</v>
      </c>
      <c r="G29" s="544" t="s">
        <v>4</v>
      </c>
      <c r="H29" s="546">
        <v>42093</v>
      </c>
      <c r="I29" s="109" t="s">
        <v>1005</v>
      </c>
      <c r="J29" s="109" t="s">
        <v>1005</v>
      </c>
      <c r="K29" s="109" t="s">
        <v>79</v>
      </c>
      <c r="L29" s="543" t="s">
        <v>1878</v>
      </c>
      <c r="M29" s="544">
        <v>42047</v>
      </c>
      <c r="N29" s="546">
        <v>42093</v>
      </c>
      <c r="O29" s="1005">
        <v>1</v>
      </c>
      <c r="P29" s="1006">
        <v>1</v>
      </c>
      <c r="Q29" s="121" t="s">
        <v>1864</v>
      </c>
    </row>
    <row r="30" spans="1:17" ht="51" customHeight="1">
      <c r="A30" s="109"/>
      <c r="B30" s="477"/>
      <c r="C30" s="109" t="s">
        <v>763</v>
      </c>
      <c r="D30" s="109" t="s">
        <v>37</v>
      </c>
      <c r="E30" s="542" t="s">
        <v>1020</v>
      </c>
      <c r="F30" s="543">
        <v>99999906</v>
      </c>
      <c r="G30" s="544" t="s">
        <v>4</v>
      </c>
      <c r="H30" s="546">
        <v>42093</v>
      </c>
      <c r="I30" s="109" t="s">
        <v>1005</v>
      </c>
      <c r="J30" s="109" t="s">
        <v>1005</v>
      </c>
      <c r="K30" s="109" t="s">
        <v>79</v>
      </c>
      <c r="L30" s="543" t="s">
        <v>1879</v>
      </c>
      <c r="M30" s="544">
        <v>42047</v>
      </c>
      <c r="N30" s="546">
        <v>42093</v>
      </c>
      <c r="O30" s="1005">
        <v>1</v>
      </c>
      <c r="P30" s="1006">
        <v>1</v>
      </c>
      <c r="Q30" s="121" t="s">
        <v>1864</v>
      </c>
    </row>
    <row r="31" spans="1:17" ht="38.25" customHeight="1">
      <c r="A31" s="109"/>
      <c r="B31" s="477"/>
      <c r="C31" s="109" t="s">
        <v>80</v>
      </c>
      <c r="D31" s="109" t="s">
        <v>37</v>
      </c>
      <c r="E31" s="542" t="s">
        <v>1021</v>
      </c>
      <c r="F31" s="543">
        <v>124999907</v>
      </c>
      <c r="G31" s="544" t="s">
        <v>4</v>
      </c>
      <c r="H31" s="546">
        <v>42094</v>
      </c>
      <c r="I31" s="109" t="s">
        <v>1005</v>
      </c>
      <c r="J31" s="109" t="s">
        <v>1005</v>
      </c>
      <c r="K31" s="109" t="s">
        <v>79</v>
      </c>
      <c r="L31" s="543" t="s">
        <v>1880</v>
      </c>
      <c r="M31" s="544">
        <v>42047</v>
      </c>
      <c r="N31" s="546">
        <v>42094</v>
      </c>
      <c r="O31" s="1005">
        <v>1</v>
      </c>
      <c r="P31" s="1006">
        <v>1</v>
      </c>
      <c r="Q31" s="121" t="s">
        <v>1864</v>
      </c>
    </row>
    <row r="32" spans="1:17" ht="39.75" customHeight="1">
      <c r="A32" s="109"/>
      <c r="B32" s="477"/>
      <c r="C32" s="109" t="s">
        <v>761</v>
      </c>
      <c r="D32" s="109" t="s">
        <v>37</v>
      </c>
      <c r="E32" s="542" t="s">
        <v>1022</v>
      </c>
      <c r="F32" s="543">
        <v>99999906</v>
      </c>
      <c r="G32" s="544" t="s">
        <v>4</v>
      </c>
      <c r="H32" s="546">
        <v>42093</v>
      </c>
      <c r="I32" s="109" t="s">
        <v>1005</v>
      </c>
      <c r="J32" s="109" t="s">
        <v>1005</v>
      </c>
      <c r="K32" s="109" t="s">
        <v>79</v>
      </c>
      <c r="L32" s="543" t="s">
        <v>1881</v>
      </c>
      <c r="M32" s="544">
        <v>42047</v>
      </c>
      <c r="N32" s="546">
        <v>42093</v>
      </c>
      <c r="O32" s="1005">
        <v>1</v>
      </c>
      <c r="P32" s="1006">
        <v>1</v>
      </c>
      <c r="Q32" s="121" t="s">
        <v>1864</v>
      </c>
    </row>
    <row r="33" spans="1:17" ht="48.75" customHeight="1">
      <c r="A33" s="109"/>
      <c r="B33" s="477"/>
      <c r="C33" s="109" t="s">
        <v>1008</v>
      </c>
      <c r="D33" s="109" t="s">
        <v>37</v>
      </c>
      <c r="E33" s="542" t="s">
        <v>1023</v>
      </c>
      <c r="F33" s="543">
        <v>99999906</v>
      </c>
      <c r="G33" s="544" t="s">
        <v>4</v>
      </c>
      <c r="H33" s="546">
        <v>42094</v>
      </c>
      <c r="I33" s="109" t="s">
        <v>1005</v>
      </c>
      <c r="J33" s="109" t="s">
        <v>1005</v>
      </c>
      <c r="K33" s="109" t="s">
        <v>79</v>
      </c>
      <c r="L33" s="543" t="s">
        <v>1882</v>
      </c>
      <c r="M33" s="544">
        <v>42047</v>
      </c>
      <c r="N33" s="546">
        <v>42094</v>
      </c>
      <c r="O33" s="1005">
        <v>1</v>
      </c>
      <c r="P33" s="1006">
        <v>1</v>
      </c>
      <c r="Q33" s="121" t="s">
        <v>1864</v>
      </c>
    </row>
    <row r="34" spans="1:17" ht="45.75" customHeight="1">
      <c r="A34" s="109"/>
      <c r="B34" s="477"/>
      <c r="C34" s="109" t="s">
        <v>694</v>
      </c>
      <c r="D34" s="109" t="s">
        <v>37</v>
      </c>
      <c r="E34" s="542" t="s">
        <v>1024</v>
      </c>
      <c r="F34" s="543">
        <v>63999980</v>
      </c>
      <c r="G34" s="544" t="s">
        <v>4</v>
      </c>
      <c r="H34" s="546">
        <v>42062</v>
      </c>
      <c r="I34" s="109" t="s">
        <v>1005</v>
      </c>
      <c r="J34" s="109" t="s">
        <v>1005</v>
      </c>
      <c r="K34" s="109" t="s">
        <v>79</v>
      </c>
      <c r="L34" s="543" t="s">
        <v>1883</v>
      </c>
      <c r="M34" s="544">
        <v>42047</v>
      </c>
      <c r="N34" s="546">
        <v>42062</v>
      </c>
      <c r="O34" s="1005">
        <v>1</v>
      </c>
      <c r="P34" s="1006">
        <v>1</v>
      </c>
      <c r="Q34" s="121" t="s">
        <v>1864</v>
      </c>
    </row>
    <row r="35" spans="1:17" ht="37.5" customHeight="1">
      <c r="A35" s="109"/>
      <c r="B35" s="477"/>
      <c r="C35" s="109" t="s">
        <v>1003</v>
      </c>
      <c r="D35" s="109" t="s">
        <v>37</v>
      </c>
      <c r="E35" s="542" t="s">
        <v>1025</v>
      </c>
      <c r="F35" s="543">
        <v>49999902</v>
      </c>
      <c r="G35" s="544" t="s">
        <v>4</v>
      </c>
      <c r="H35" s="546">
        <v>42062</v>
      </c>
      <c r="I35" s="109" t="s">
        <v>1005</v>
      </c>
      <c r="J35" s="109" t="s">
        <v>1005</v>
      </c>
      <c r="K35" s="109" t="s">
        <v>79</v>
      </c>
      <c r="L35" s="543" t="s">
        <v>1884</v>
      </c>
      <c r="M35" s="544">
        <v>42047</v>
      </c>
      <c r="N35" s="546">
        <v>42062</v>
      </c>
      <c r="O35" s="1005">
        <v>1</v>
      </c>
      <c r="P35" s="1006">
        <v>1</v>
      </c>
      <c r="Q35" s="121" t="s">
        <v>1864</v>
      </c>
    </row>
    <row r="36" spans="1:17" ht="39.75" customHeight="1">
      <c r="A36" s="109"/>
      <c r="B36" s="477"/>
      <c r="C36" s="109" t="s">
        <v>1013</v>
      </c>
      <c r="D36" s="109" t="s">
        <v>37</v>
      </c>
      <c r="E36" s="542" t="s">
        <v>1026</v>
      </c>
      <c r="F36" s="543">
        <v>49999902</v>
      </c>
      <c r="G36" s="544" t="s">
        <v>4</v>
      </c>
      <c r="H36" s="546">
        <v>42062</v>
      </c>
      <c r="I36" s="109" t="s">
        <v>1005</v>
      </c>
      <c r="J36" s="109" t="s">
        <v>1005</v>
      </c>
      <c r="K36" s="109" t="s">
        <v>79</v>
      </c>
      <c r="L36" s="543" t="s">
        <v>1884</v>
      </c>
      <c r="M36" s="544">
        <v>42047</v>
      </c>
      <c r="N36" s="546">
        <v>42062</v>
      </c>
      <c r="O36" s="1005">
        <v>1</v>
      </c>
      <c r="P36" s="1006">
        <v>1</v>
      </c>
      <c r="Q36" s="121" t="s">
        <v>1864</v>
      </c>
    </row>
    <row r="37" spans="1:17" ht="41.25" customHeight="1">
      <c r="A37" s="109"/>
      <c r="B37" s="477"/>
      <c r="C37" s="109" t="s">
        <v>789</v>
      </c>
      <c r="D37" s="109" t="s">
        <v>37</v>
      </c>
      <c r="E37" s="542" t="s">
        <v>1027</v>
      </c>
      <c r="F37" s="543">
        <v>63999980</v>
      </c>
      <c r="G37" s="544" t="s">
        <v>4</v>
      </c>
      <c r="H37" s="546">
        <v>42062</v>
      </c>
      <c r="I37" s="109" t="s">
        <v>1005</v>
      </c>
      <c r="J37" s="109" t="s">
        <v>1005</v>
      </c>
      <c r="K37" s="109" t="s">
        <v>79</v>
      </c>
      <c r="L37" s="543" t="s">
        <v>1885</v>
      </c>
      <c r="M37" s="544">
        <v>42047</v>
      </c>
      <c r="N37" s="546">
        <v>42062</v>
      </c>
      <c r="O37" s="1005">
        <v>1</v>
      </c>
      <c r="P37" s="1006">
        <v>1</v>
      </c>
      <c r="Q37" s="121" t="s">
        <v>1864</v>
      </c>
    </row>
    <row r="38" spans="1:17" ht="28.5" customHeight="1">
      <c r="A38" s="551" t="s">
        <v>1028</v>
      </c>
      <c r="B38" s="477">
        <f>SUM(F39:F41)</f>
        <v>251971359</v>
      </c>
      <c r="C38" s="109"/>
      <c r="D38" s="109"/>
      <c r="E38" s="542"/>
      <c r="F38" s="543"/>
      <c r="G38" s="109"/>
      <c r="H38" s="546"/>
      <c r="I38" s="109"/>
      <c r="J38" s="109"/>
      <c r="K38" s="109"/>
      <c r="L38" s="549"/>
      <c r="M38" s="121"/>
      <c r="N38" s="121"/>
      <c r="O38" s="121"/>
      <c r="P38" s="121"/>
      <c r="Q38" s="121"/>
    </row>
    <row r="39" spans="1:17" ht="51.75" customHeight="1">
      <c r="A39" s="109"/>
      <c r="B39" s="477"/>
      <c r="C39" s="109" t="s">
        <v>1008</v>
      </c>
      <c r="D39" s="109" t="s">
        <v>37</v>
      </c>
      <c r="E39" s="542" t="s">
        <v>1029</v>
      </c>
      <c r="F39" s="543">
        <v>119999987</v>
      </c>
      <c r="G39" s="544" t="s">
        <v>4</v>
      </c>
      <c r="H39" s="546">
        <v>42153</v>
      </c>
      <c r="I39" s="109" t="s">
        <v>1005</v>
      </c>
      <c r="J39" s="109" t="s">
        <v>1005</v>
      </c>
      <c r="K39" s="1007" t="s">
        <v>90</v>
      </c>
      <c r="L39" s="543" t="s">
        <v>1886</v>
      </c>
      <c r="M39" s="544">
        <v>42047</v>
      </c>
      <c r="N39" s="546">
        <v>42178</v>
      </c>
      <c r="O39" s="1005">
        <v>1</v>
      </c>
      <c r="P39" s="1006">
        <v>1</v>
      </c>
      <c r="Q39" s="121" t="s">
        <v>1864</v>
      </c>
    </row>
    <row r="40" spans="1:17" ht="47.25" customHeight="1">
      <c r="A40" s="109"/>
      <c r="B40" s="477"/>
      <c r="C40" s="109" t="s">
        <v>763</v>
      </c>
      <c r="D40" s="109" t="s">
        <v>37</v>
      </c>
      <c r="E40" s="542" t="s">
        <v>1030</v>
      </c>
      <c r="F40" s="543">
        <f>70000000-1028640</f>
        <v>68971360</v>
      </c>
      <c r="G40" s="546" t="s">
        <v>13</v>
      </c>
      <c r="H40" s="546">
        <v>42247</v>
      </c>
      <c r="I40" s="109" t="s">
        <v>1005</v>
      </c>
      <c r="J40" s="109" t="s">
        <v>1005</v>
      </c>
      <c r="K40" s="1007" t="s">
        <v>90</v>
      </c>
      <c r="L40" s="543">
        <f>70000000-1028640</f>
        <v>68971360</v>
      </c>
      <c r="M40" s="546">
        <v>42130</v>
      </c>
      <c r="N40" s="546">
        <v>42216</v>
      </c>
      <c r="O40" s="1005">
        <v>1</v>
      </c>
      <c r="P40" s="1006">
        <v>1</v>
      </c>
      <c r="Q40" s="121" t="s">
        <v>1864</v>
      </c>
    </row>
    <row r="41" spans="1:17" ht="47.25" customHeight="1">
      <c r="A41" s="109"/>
      <c r="B41" s="477"/>
      <c r="C41" s="109" t="s">
        <v>789</v>
      </c>
      <c r="D41" s="109" t="s">
        <v>37</v>
      </c>
      <c r="E41" s="542" t="s">
        <v>1031</v>
      </c>
      <c r="F41" s="543">
        <v>63000012</v>
      </c>
      <c r="G41" s="546" t="s">
        <v>13</v>
      </c>
      <c r="H41" s="546">
        <v>42216</v>
      </c>
      <c r="I41" s="109" t="s">
        <v>1005</v>
      </c>
      <c r="J41" s="109" t="s">
        <v>1005</v>
      </c>
      <c r="K41" s="1007" t="s">
        <v>90</v>
      </c>
      <c r="L41" s="543">
        <v>63000012</v>
      </c>
      <c r="M41" s="546">
        <v>42130</v>
      </c>
      <c r="N41" s="546">
        <v>42200</v>
      </c>
      <c r="O41" s="1005">
        <v>1</v>
      </c>
      <c r="P41" s="1006">
        <v>1</v>
      </c>
      <c r="Q41" s="121" t="s">
        <v>1864</v>
      </c>
    </row>
    <row r="42" spans="1:17" ht="37.5" customHeight="1">
      <c r="A42" s="476" t="s">
        <v>176</v>
      </c>
      <c r="B42" s="477">
        <f>SUM(F43:F51)</f>
        <v>740741895</v>
      </c>
      <c r="C42" s="109"/>
      <c r="D42" s="109"/>
      <c r="E42" s="542"/>
      <c r="F42" s="543"/>
      <c r="G42" s="109"/>
      <c r="H42" s="546"/>
      <c r="I42" s="109"/>
      <c r="J42" s="109"/>
      <c r="K42" s="109"/>
      <c r="L42" s="549"/>
      <c r="M42" s="121"/>
      <c r="N42" s="121"/>
      <c r="O42" s="121"/>
      <c r="P42" s="121"/>
      <c r="Q42" s="121"/>
    </row>
    <row r="43" spans="1:17" ht="45">
      <c r="A43" s="109"/>
      <c r="B43" s="477"/>
      <c r="C43" s="109" t="s">
        <v>78</v>
      </c>
      <c r="D43" s="109" t="s">
        <v>37</v>
      </c>
      <c r="E43" s="542" t="s">
        <v>1032</v>
      </c>
      <c r="F43" s="543">
        <v>111000000</v>
      </c>
      <c r="G43" s="546" t="s">
        <v>4</v>
      </c>
      <c r="H43" s="546">
        <v>42216</v>
      </c>
      <c r="I43" s="109" t="s">
        <v>1005</v>
      </c>
      <c r="J43" s="109" t="s">
        <v>1005</v>
      </c>
      <c r="K43" s="1007" t="s">
        <v>70</v>
      </c>
      <c r="L43" s="543">
        <v>110999930</v>
      </c>
      <c r="M43" s="544">
        <v>42037</v>
      </c>
      <c r="N43" s="546">
        <v>42230</v>
      </c>
      <c r="O43" s="1005">
        <v>1</v>
      </c>
      <c r="P43" s="1006">
        <v>1</v>
      </c>
      <c r="Q43" s="121" t="s">
        <v>1864</v>
      </c>
    </row>
    <row r="44" spans="1:17" ht="45">
      <c r="A44" s="109"/>
      <c r="B44" s="477"/>
      <c r="C44" s="109" t="s">
        <v>1008</v>
      </c>
      <c r="D44" s="109" t="s">
        <v>37</v>
      </c>
      <c r="E44" s="542" t="s">
        <v>1033</v>
      </c>
      <c r="F44" s="543">
        <v>80000000</v>
      </c>
      <c r="G44" s="546" t="s">
        <v>4</v>
      </c>
      <c r="H44" s="546">
        <v>42153</v>
      </c>
      <c r="I44" s="109" t="s">
        <v>1005</v>
      </c>
      <c r="J44" s="109" t="s">
        <v>1005</v>
      </c>
      <c r="K44" s="1007" t="s">
        <v>70</v>
      </c>
      <c r="L44" s="543" t="s">
        <v>1887</v>
      </c>
      <c r="M44" s="544">
        <v>42037</v>
      </c>
      <c r="N44" s="546">
        <v>42178</v>
      </c>
      <c r="O44" s="1006">
        <v>1</v>
      </c>
      <c r="P44" s="1006">
        <v>1</v>
      </c>
      <c r="Q44" s="547" t="s">
        <v>1864</v>
      </c>
    </row>
    <row r="45" spans="1:17" ht="33.75">
      <c r="A45" s="109"/>
      <c r="B45" s="477"/>
      <c r="C45" s="109" t="s">
        <v>789</v>
      </c>
      <c r="D45" s="109" t="s">
        <v>37</v>
      </c>
      <c r="E45" s="542" t="s">
        <v>1034</v>
      </c>
      <c r="F45" s="543">
        <v>122000000</v>
      </c>
      <c r="G45" s="546" t="s">
        <v>4</v>
      </c>
      <c r="H45" s="546">
        <v>42153</v>
      </c>
      <c r="I45" s="109" t="s">
        <v>1005</v>
      </c>
      <c r="J45" s="109" t="s">
        <v>1005</v>
      </c>
      <c r="K45" s="1007" t="s">
        <v>70</v>
      </c>
      <c r="L45" s="543" t="s">
        <v>1888</v>
      </c>
      <c r="M45" s="544">
        <v>42037</v>
      </c>
      <c r="N45" s="546">
        <v>42185</v>
      </c>
      <c r="O45" s="1005">
        <v>1</v>
      </c>
      <c r="P45" s="1006">
        <v>1</v>
      </c>
      <c r="Q45" s="121" t="s">
        <v>1864</v>
      </c>
    </row>
    <row r="46" spans="1:17" ht="45.75" customHeight="1">
      <c r="A46" s="109"/>
      <c r="B46" s="477"/>
      <c r="C46" s="109" t="s">
        <v>80</v>
      </c>
      <c r="D46" s="109" t="s">
        <v>37</v>
      </c>
      <c r="E46" s="542" t="s">
        <v>1035</v>
      </c>
      <c r="F46" s="543">
        <v>64000000</v>
      </c>
      <c r="G46" s="546" t="s">
        <v>4</v>
      </c>
      <c r="H46" s="546">
        <v>42153</v>
      </c>
      <c r="I46" s="109" t="s">
        <v>1005</v>
      </c>
      <c r="J46" s="109" t="s">
        <v>1005</v>
      </c>
      <c r="K46" s="1007" t="s">
        <v>70</v>
      </c>
      <c r="L46" s="543" t="s">
        <v>1889</v>
      </c>
      <c r="M46" s="544">
        <v>42047</v>
      </c>
      <c r="N46" s="546">
        <v>42173</v>
      </c>
      <c r="O46" s="1005">
        <v>1</v>
      </c>
      <c r="P46" s="1006">
        <v>1</v>
      </c>
      <c r="Q46" s="121" t="s">
        <v>1864</v>
      </c>
    </row>
    <row r="47" spans="1:17" s="1011" customFormat="1" ht="48" customHeight="1">
      <c r="A47" s="1007"/>
      <c r="B47" s="543"/>
      <c r="C47" s="1007" t="s">
        <v>761</v>
      </c>
      <c r="D47" s="1007" t="s">
        <v>37</v>
      </c>
      <c r="E47" s="1009" t="s">
        <v>1890</v>
      </c>
      <c r="F47" s="543">
        <v>60000000</v>
      </c>
      <c r="G47" s="1010" t="s">
        <v>13</v>
      </c>
      <c r="H47" s="1010">
        <v>42153</v>
      </c>
      <c r="I47" s="1007" t="s">
        <v>1005</v>
      </c>
      <c r="J47" s="1007" t="s">
        <v>1005</v>
      </c>
      <c r="K47" s="1007" t="s">
        <v>70</v>
      </c>
      <c r="L47" s="543" t="s">
        <v>1891</v>
      </c>
      <c r="M47" s="1010">
        <v>42145</v>
      </c>
      <c r="N47" s="1010">
        <v>42173</v>
      </c>
      <c r="O47" s="1005">
        <v>1</v>
      </c>
      <c r="P47" s="1006">
        <v>1</v>
      </c>
      <c r="Q47" s="121" t="s">
        <v>1864</v>
      </c>
    </row>
    <row r="48" spans="1:17" s="1011" customFormat="1" ht="33.75">
      <c r="A48" s="1007"/>
      <c r="B48" s="543"/>
      <c r="C48" s="1007" t="s">
        <v>1013</v>
      </c>
      <c r="D48" s="1007" t="s">
        <v>37</v>
      </c>
      <c r="E48" s="1009" t="s">
        <v>1892</v>
      </c>
      <c r="F48" s="543">
        <v>119000000</v>
      </c>
      <c r="G48" s="1010" t="s">
        <v>13</v>
      </c>
      <c r="H48" s="1010">
        <v>42153</v>
      </c>
      <c r="I48" s="1007" t="s">
        <v>1005</v>
      </c>
      <c r="J48" s="1007" t="s">
        <v>1005</v>
      </c>
      <c r="K48" s="1007" t="s">
        <v>70</v>
      </c>
      <c r="L48" s="543" t="s">
        <v>1893</v>
      </c>
      <c r="M48" s="1010">
        <v>42150</v>
      </c>
      <c r="N48" s="1010">
        <v>42180</v>
      </c>
      <c r="O48" s="1005">
        <v>1</v>
      </c>
      <c r="P48" s="1006">
        <v>1</v>
      </c>
      <c r="Q48" s="121" t="s">
        <v>1864</v>
      </c>
    </row>
    <row r="49" spans="1:17" s="1011" customFormat="1" ht="33.75">
      <c r="A49" s="1007"/>
      <c r="B49" s="543"/>
      <c r="C49" s="109" t="s">
        <v>789</v>
      </c>
      <c r="D49" s="1007" t="s">
        <v>37</v>
      </c>
      <c r="E49" s="1009" t="s">
        <v>1894</v>
      </c>
      <c r="F49" s="543">
        <v>64000000</v>
      </c>
      <c r="G49" s="544" t="s">
        <v>79</v>
      </c>
      <c r="H49" s="546">
        <v>42352</v>
      </c>
      <c r="I49" s="109" t="s">
        <v>1005</v>
      </c>
      <c r="J49" s="109" t="s">
        <v>1005</v>
      </c>
      <c r="K49" s="1007" t="s">
        <v>79</v>
      </c>
      <c r="L49" s="543">
        <v>63955550</v>
      </c>
      <c r="M49" s="544">
        <v>42347</v>
      </c>
      <c r="N49" s="546">
        <v>42352</v>
      </c>
      <c r="O49" s="1006">
        <v>1</v>
      </c>
      <c r="P49" s="1006">
        <v>1</v>
      </c>
      <c r="Q49" s="547" t="s">
        <v>1864</v>
      </c>
    </row>
    <row r="50" spans="1:17" s="1011" customFormat="1" ht="33.75">
      <c r="A50" s="1007"/>
      <c r="B50" s="543"/>
      <c r="C50" s="1007" t="s">
        <v>761</v>
      </c>
      <c r="D50" s="1007" t="s">
        <v>37</v>
      </c>
      <c r="E50" s="1009" t="s">
        <v>1895</v>
      </c>
      <c r="F50" s="543">
        <v>61000000</v>
      </c>
      <c r="G50" s="544" t="s">
        <v>79</v>
      </c>
      <c r="H50" s="546">
        <v>42352</v>
      </c>
      <c r="I50" s="109" t="s">
        <v>1005</v>
      </c>
      <c r="J50" s="109" t="s">
        <v>1005</v>
      </c>
      <c r="K50" s="1007" t="s">
        <v>79</v>
      </c>
      <c r="L50" s="543">
        <v>60753855</v>
      </c>
      <c r="M50" s="544">
        <v>42347</v>
      </c>
      <c r="N50" s="546">
        <v>42352</v>
      </c>
      <c r="O50" s="1006">
        <v>1</v>
      </c>
      <c r="P50" s="1006">
        <v>1</v>
      </c>
      <c r="Q50" s="547" t="s">
        <v>1864</v>
      </c>
    </row>
    <row r="51" spans="1:17" s="1011" customFormat="1" ht="45">
      <c r="A51" s="1007"/>
      <c r="B51" s="543"/>
      <c r="C51" s="109" t="s">
        <v>80</v>
      </c>
      <c r="D51" s="1007" t="s">
        <v>37</v>
      </c>
      <c r="E51" s="1009" t="s">
        <v>1896</v>
      </c>
      <c r="F51" s="543">
        <v>59741895</v>
      </c>
      <c r="G51" s="544" t="s">
        <v>79</v>
      </c>
      <c r="H51" s="546">
        <v>42352</v>
      </c>
      <c r="I51" s="109" t="s">
        <v>1005</v>
      </c>
      <c r="J51" s="109" t="s">
        <v>1005</v>
      </c>
      <c r="K51" s="1007" t="s">
        <v>79</v>
      </c>
      <c r="L51" s="543">
        <v>59741895</v>
      </c>
      <c r="M51" s="544">
        <v>42347</v>
      </c>
      <c r="N51" s="546">
        <v>42352</v>
      </c>
      <c r="O51" s="1006">
        <v>1</v>
      </c>
      <c r="P51" s="1006">
        <v>1</v>
      </c>
      <c r="Q51" s="547" t="s">
        <v>1864</v>
      </c>
    </row>
    <row r="52" spans="1:17">
      <c r="A52" s="548" t="s">
        <v>144</v>
      </c>
      <c r="B52" s="477">
        <f>SUM(F53:F57)</f>
        <v>533384759</v>
      </c>
      <c r="C52" s="109"/>
      <c r="D52" s="109"/>
      <c r="E52" s="542"/>
      <c r="F52" s="543"/>
      <c r="G52" s="109"/>
      <c r="H52" s="546"/>
      <c r="I52" s="109"/>
      <c r="J52" s="109"/>
      <c r="K52" s="109"/>
      <c r="L52" s="549"/>
      <c r="M52" s="121"/>
      <c r="N52" s="121"/>
      <c r="O52" s="121"/>
      <c r="P52" s="121"/>
      <c r="Q52" s="121"/>
    </row>
    <row r="53" spans="1:17" ht="48" customHeight="1">
      <c r="A53" s="109"/>
      <c r="B53" s="477"/>
      <c r="C53" s="109" t="s">
        <v>1008</v>
      </c>
      <c r="D53" s="109" t="s">
        <v>37</v>
      </c>
      <c r="E53" s="542" t="s">
        <v>1036</v>
      </c>
      <c r="F53" s="543">
        <v>119999990</v>
      </c>
      <c r="G53" s="546" t="s">
        <v>4</v>
      </c>
      <c r="H53" s="546">
        <v>42153</v>
      </c>
      <c r="I53" s="109" t="s">
        <v>1005</v>
      </c>
      <c r="J53" s="109" t="s">
        <v>1005</v>
      </c>
      <c r="K53" s="1007" t="s">
        <v>70</v>
      </c>
      <c r="L53" s="543" t="s">
        <v>1897</v>
      </c>
      <c r="M53" s="546">
        <v>42037</v>
      </c>
      <c r="N53" s="546">
        <v>42180</v>
      </c>
      <c r="O53" s="1005">
        <v>1</v>
      </c>
      <c r="P53" s="1006">
        <v>1</v>
      </c>
      <c r="Q53" s="121" t="s">
        <v>1864</v>
      </c>
    </row>
    <row r="54" spans="1:17" ht="53.25" customHeight="1">
      <c r="A54" s="109"/>
      <c r="B54" s="477"/>
      <c r="C54" s="109" t="s">
        <v>1013</v>
      </c>
      <c r="D54" s="109" t="s">
        <v>37</v>
      </c>
      <c r="E54" s="542" t="s">
        <v>1037</v>
      </c>
      <c r="F54" s="543">
        <v>59999943</v>
      </c>
      <c r="G54" s="546" t="s">
        <v>4</v>
      </c>
      <c r="H54" s="546">
        <v>42067</v>
      </c>
      <c r="I54" s="109" t="s">
        <v>1005</v>
      </c>
      <c r="J54" s="109" t="s">
        <v>1005</v>
      </c>
      <c r="K54" s="1007" t="s">
        <v>69</v>
      </c>
      <c r="L54" s="543" t="s">
        <v>1898</v>
      </c>
      <c r="M54" s="546">
        <v>42037</v>
      </c>
      <c r="N54" s="546">
        <v>42067</v>
      </c>
      <c r="O54" s="545">
        <v>1</v>
      </c>
      <c r="P54" s="1006">
        <v>1</v>
      </c>
      <c r="Q54" s="121" t="s">
        <v>1864</v>
      </c>
    </row>
    <row r="55" spans="1:17" ht="54.75" customHeight="1">
      <c r="A55" s="109"/>
      <c r="B55" s="477"/>
      <c r="C55" s="109" t="s">
        <v>789</v>
      </c>
      <c r="D55" s="109" t="s">
        <v>37</v>
      </c>
      <c r="E55" s="542" t="s">
        <v>1038</v>
      </c>
      <c r="F55" s="543">
        <v>99999906</v>
      </c>
      <c r="G55" s="546" t="s">
        <v>4</v>
      </c>
      <c r="H55" s="546">
        <v>42247</v>
      </c>
      <c r="I55" s="109" t="s">
        <v>1005</v>
      </c>
      <c r="J55" s="109" t="s">
        <v>1005</v>
      </c>
      <c r="K55" s="1007" t="s">
        <v>90</v>
      </c>
      <c r="L55" s="543">
        <v>99999906</v>
      </c>
      <c r="M55" s="546">
        <v>42047</v>
      </c>
      <c r="N55" s="546">
        <v>42216</v>
      </c>
      <c r="O55" s="1005">
        <v>1</v>
      </c>
      <c r="P55" s="1006">
        <v>1</v>
      </c>
      <c r="Q55" s="121" t="s">
        <v>1864</v>
      </c>
    </row>
    <row r="56" spans="1:17" ht="51.75" customHeight="1">
      <c r="A56" s="109"/>
      <c r="B56" s="477"/>
      <c r="C56" s="109" t="s">
        <v>80</v>
      </c>
      <c r="D56" s="109" t="s">
        <v>37</v>
      </c>
      <c r="E56" s="542" t="s">
        <v>1039</v>
      </c>
      <c r="F56" s="543">
        <v>128000164</v>
      </c>
      <c r="G56" s="546" t="s">
        <v>13</v>
      </c>
      <c r="H56" s="546">
        <v>42247</v>
      </c>
      <c r="I56" s="109" t="s">
        <v>1005</v>
      </c>
      <c r="J56" s="109" t="s">
        <v>1005</v>
      </c>
      <c r="K56" s="1007" t="s">
        <v>90</v>
      </c>
      <c r="L56" s="543">
        <v>128000164</v>
      </c>
      <c r="M56" s="546">
        <v>42130</v>
      </c>
      <c r="N56" s="546">
        <v>42230</v>
      </c>
      <c r="O56" s="1005">
        <v>1</v>
      </c>
      <c r="P56" s="1006">
        <v>1</v>
      </c>
      <c r="Q56" s="121" t="s">
        <v>1864</v>
      </c>
    </row>
    <row r="57" spans="1:17" ht="57" customHeight="1">
      <c r="A57" s="109"/>
      <c r="B57" s="477"/>
      <c r="C57" s="109" t="s">
        <v>761</v>
      </c>
      <c r="D57" s="109" t="s">
        <v>37</v>
      </c>
      <c r="E57" s="542" t="s">
        <v>1040</v>
      </c>
      <c r="F57" s="543">
        <f>128000000-2615244</f>
        <v>125384756</v>
      </c>
      <c r="G57" s="546" t="s">
        <v>13</v>
      </c>
      <c r="H57" s="546">
        <v>42247</v>
      </c>
      <c r="I57" s="109" t="s">
        <v>1005</v>
      </c>
      <c r="J57" s="109" t="s">
        <v>1005</v>
      </c>
      <c r="K57" s="1007" t="s">
        <v>90</v>
      </c>
      <c r="L57" s="543">
        <f>128000000-2615244</f>
        <v>125384756</v>
      </c>
      <c r="M57" s="546">
        <v>42130</v>
      </c>
      <c r="N57" s="546">
        <v>42216</v>
      </c>
      <c r="O57" s="1005">
        <v>1</v>
      </c>
      <c r="P57" s="1006">
        <v>1</v>
      </c>
      <c r="Q57" s="121" t="s">
        <v>1864</v>
      </c>
    </row>
    <row r="58" spans="1:17" ht="22.5">
      <c r="A58" s="551" t="s">
        <v>1041</v>
      </c>
      <c r="B58" s="477">
        <f>SUM(F59:F61)</f>
        <v>286633447</v>
      </c>
      <c r="C58" s="109"/>
      <c r="D58" s="109"/>
      <c r="E58" s="542"/>
      <c r="F58" s="543"/>
      <c r="G58" s="109"/>
      <c r="H58" s="546"/>
      <c r="I58" s="109"/>
      <c r="J58" s="109"/>
      <c r="K58" s="109"/>
      <c r="L58" s="549"/>
      <c r="M58" s="121"/>
      <c r="N58" s="121"/>
      <c r="O58" s="121"/>
      <c r="P58" s="121"/>
      <c r="Q58" s="121"/>
    </row>
    <row r="59" spans="1:17" ht="48" customHeight="1">
      <c r="A59" s="109"/>
      <c r="B59" s="477"/>
      <c r="C59" s="109" t="s">
        <v>763</v>
      </c>
      <c r="D59" s="109" t="s">
        <v>37</v>
      </c>
      <c r="E59" s="542" t="s">
        <v>1042</v>
      </c>
      <c r="F59" s="543">
        <v>79999924</v>
      </c>
      <c r="G59" s="546" t="s">
        <v>4</v>
      </c>
      <c r="H59" s="546">
        <v>42153</v>
      </c>
      <c r="I59" s="109" t="s">
        <v>1005</v>
      </c>
      <c r="J59" s="109" t="s">
        <v>1005</v>
      </c>
      <c r="K59" s="1007" t="s">
        <v>70</v>
      </c>
      <c r="L59" s="543" t="s">
        <v>1899</v>
      </c>
      <c r="M59" s="546">
        <v>42047</v>
      </c>
      <c r="N59" s="546">
        <v>42178</v>
      </c>
      <c r="O59" s="1005">
        <v>1</v>
      </c>
      <c r="P59" s="1006">
        <v>1</v>
      </c>
      <c r="Q59" s="121" t="s">
        <v>1864</v>
      </c>
    </row>
    <row r="60" spans="1:17" ht="51" customHeight="1">
      <c r="A60" s="109"/>
      <c r="B60" s="477"/>
      <c r="C60" s="109" t="s">
        <v>80</v>
      </c>
      <c r="D60" s="109" t="s">
        <v>37</v>
      </c>
      <c r="E60" s="542" t="s">
        <v>1043</v>
      </c>
      <c r="F60" s="543">
        <f>128000076-1366553</f>
        <v>126633523</v>
      </c>
      <c r="G60" s="546" t="s">
        <v>13</v>
      </c>
      <c r="H60" s="546">
        <v>42247</v>
      </c>
      <c r="I60" s="109" t="s">
        <v>1005</v>
      </c>
      <c r="J60" s="109" t="s">
        <v>1005</v>
      </c>
      <c r="K60" s="1007" t="s">
        <v>90</v>
      </c>
      <c r="L60" s="543">
        <f>128000076-1366553</f>
        <v>126633523</v>
      </c>
      <c r="M60" s="546">
        <v>42130</v>
      </c>
      <c r="N60" s="546">
        <v>42230</v>
      </c>
      <c r="O60" s="1005">
        <v>1</v>
      </c>
      <c r="P60" s="1006">
        <v>1</v>
      </c>
      <c r="Q60" s="121" t="s">
        <v>1864</v>
      </c>
    </row>
    <row r="61" spans="1:17" ht="53.25" customHeight="1">
      <c r="A61" s="109"/>
      <c r="B61" s="477"/>
      <c r="C61" s="109" t="s">
        <v>78</v>
      </c>
      <c r="D61" s="109" t="s">
        <v>37</v>
      </c>
      <c r="E61" s="542" t="s">
        <v>1044</v>
      </c>
      <c r="F61" s="543">
        <v>80000000</v>
      </c>
      <c r="G61" s="546" t="s">
        <v>13</v>
      </c>
      <c r="H61" s="546">
        <v>42247</v>
      </c>
      <c r="I61" s="109" t="s">
        <v>1005</v>
      </c>
      <c r="J61" s="109" t="s">
        <v>1005</v>
      </c>
      <c r="K61" s="1007" t="s">
        <v>90</v>
      </c>
      <c r="L61" s="543">
        <v>80000000</v>
      </c>
      <c r="M61" s="546">
        <v>42130</v>
      </c>
      <c r="N61" s="546">
        <v>42265</v>
      </c>
      <c r="O61" s="1005">
        <v>1</v>
      </c>
      <c r="P61" s="1006">
        <v>1</v>
      </c>
      <c r="Q61" s="121" t="s">
        <v>1864</v>
      </c>
    </row>
    <row r="62" spans="1:17">
      <c r="A62" s="548" t="s">
        <v>1045</v>
      </c>
      <c r="B62" s="477">
        <f>SUM(F63)</f>
        <v>63660800</v>
      </c>
      <c r="C62" s="109"/>
      <c r="D62" s="109"/>
      <c r="E62" s="542"/>
      <c r="F62" s="543"/>
      <c r="G62" s="109"/>
      <c r="H62" s="546"/>
      <c r="I62" s="109"/>
      <c r="J62" s="109"/>
      <c r="K62" s="109"/>
      <c r="L62" s="549"/>
      <c r="M62" s="121"/>
      <c r="N62" s="121"/>
      <c r="O62" s="121"/>
      <c r="P62" s="121"/>
      <c r="Q62" s="121"/>
    </row>
    <row r="63" spans="1:17" ht="56.25">
      <c r="A63" s="548"/>
      <c r="B63" s="477"/>
      <c r="C63" s="109" t="s">
        <v>83</v>
      </c>
      <c r="D63" s="109" t="s">
        <v>37</v>
      </c>
      <c r="E63" s="542" t="s">
        <v>1046</v>
      </c>
      <c r="F63" s="543">
        <v>63660800</v>
      </c>
      <c r="G63" s="546" t="s">
        <v>4</v>
      </c>
      <c r="H63" s="546">
        <v>42046</v>
      </c>
      <c r="I63" s="109" t="s">
        <v>1005</v>
      </c>
      <c r="J63" s="109" t="s">
        <v>1005</v>
      </c>
      <c r="K63" s="1007" t="s">
        <v>79</v>
      </c>
      <c r="L63" s="543">
        <v>63660800</v>
      </c>
      <c r="M63" s="546">
        <v>42038</v>
      </c>
      <c r="N63" s="546">
        <v>42046</v>
      </c>
      <c r="O63" s="1005">
        <v>1</v>
      </c>
      <c r="P63" s="1006">
        <v>1</v>
      </c>
      <c r="Q63" s="121" t="s">
        <v>1864</v>
      </c>
    </row>
    <row r="64" spans="1:17" ht="45">
      <c r="A64" s="540" t="s">
        <v>589</v>
      </c>
      <c r="B64" s="541">
        <f>+B65+B69+B71+B73+B77+B82</f>
        <v>594000000</v>
      </c>
      <c r="C64" s="109"/>
      <c r="D64" s="109"/>
      <c r="E64" s="542"/>
      <c r="F64" s="543"/>
      <c r="G64" s="477"/>
      <c r="H64" s="546"/>
      <c r="I64" s="109"/>
      <c r="J64" s="109"/>
      <c r="K64" s="109"/>
      <c r="L64" s="549"/>
      <c r="M64" s="121"/>
      <c r="N64" s="121"/>
      <c r="O64" s="121"/>
      <c r="P64" s="121"/>
      <c r="Q64" s="121"/>
    </row>
    <row r="65" spans="1:17" ht="22.5">
      <c r="A65" s="476" t="s">
        <v>82</v>
      </c>
      <c r="B65" s="477">
        <f>SUM(F66:F68)</f>
        <v>132000879</v>
      </c>
      <c r="C65" s="109"/>
      <c r="D65" s="109"/>
      <c r="E65" s="542"/>
      <c r="F65" s="543"/>
      <c r="G65" s="109"/>
      <c r="H65" s="546"/>
      <c r="I65" s="109"/>
      <c r="J65" s="109"/>
      <c r="K65" s="109"/>
      <c r="L65" s="549"/>
      <c r="M65" s="121"/>
      <c r="N65" s="121"/>
      <c r="O65" s="121"/>
      <c r="P65" s="121"/>
      <c r="Q65" s="121"/>
    </row>
    <row r="66" spans="1:17" ht="50.25" customHeight="1">
      <c r="A66" s="109"/>
      <c r="B66" s="477"/>
      <c r="C66" s="109" t="s">
        <v>789</v>
      </c>
      <c r="D66" s="109" t="s">
        <v>37</v>
      </c>
      <c r="E66" s="542" t="s">
        <v>1047</v>
      </c>
      <c r="F66" s="543">
        <v>25000938</v>
      </c>
      <c r="G66" s="546" t="s">
        <v>4</v>
      </c>
      <c r="H66" s="546">
        <v>42052</v>
      </c>
      <c r="I66" s="109" t="s">
        <v>1005</v>
      </c>
      <c r="J66" s="109" t="s">
        <v>1005</v>
      </c>
      <c r="K66" s="1007" t="s">
        <v>89</v>
      </c>
      <c r="L66" s="543" t="s">
        <v>1900</v>
      </c>
      <c r="M66" s="546">
        <v>42019</v>
      </c>
      <c r="N66" s="546">
        <v>42052</v>
      </c>
      <c r="O66" s="545">
        <v>1</v>
      </c>
      <c r="P66" s="1006">
        <v>1</v>
      </c>
      <c r="Q66" s="121" t="s">
        <v>1864</v>
      </c>
    </row>
    <row r="67" spans="1:17" ht="51.75" customHeight="1">
      <c r="A67" s="109"/>
      <c r="B67" s="477"/>
      <c r="C67" s="109" t="s">
        <v>80</v>
      </c>
      <c r="D67" s="109" t="s">
        <v>37</v>
      </c>
      <c r="E67" s="542" t="s">
        <v>1048</v>
      </c>
      <c r="F67" s="543">
        <v>46999998</v>
      </c>
      <c r="G67" s="546" t="s">
        <v>4</v>
      </c>
      <c r="H67" s="546">
        <v>42052</v>
      </c>
      <c r="I67" s="109" t="s">
        <v>1005</v>
      </c>
      <c r="J67" s="109" t="s">
        <v>1005</v>
      </c>
      <c r="K67" s="1007" t="s">
        <v>89</v>
      </c>
      <c r="L67" s="543" t="s">
        <v>1901</v>
      </c>
      <c r="M67" s="546">
        <v>42019</v>
      </c>
      <c r="N67" s="546">
        <v>42052</v>
      </c>
      <c r="O67" s="545">
        <v>1</v>
      </c>
      <c r="P67" s="1006">
        <v>1</v>
      </c>
      <c r="Q67" s="121" t="s">
        <v>1864</v>
      </c>
    </row>
    <row r="68" spans="1:17" ht="45">
      <c r="A68" s="109"/>
      <c r="B68" s="477"/>
      <c r="C68" s="109" t="s">
        <v>789</v>
      </c>
      <c r="D68" s="109" t="s">
        <v>37</v>
      </c>
      <c r="E68" s="542" t="s">
        <v>1049</v>
      </c>
      <c r="F68" s="543">
        <v>59999943</v>
      </c>
      <c r="G68" s="546" t="s">
        <v>5</v>
      </c>
      <c r="H68" s="546">
        <v>42153</v>
      </c>
      <c r="I68" s="109" t="s">
        <v>1005</v>
      </c>
      <c r="J68" s="109" t="s">
        <v>1005</v>
      </c>
      <c r="K68" s="1007" t="s">
        <v>70</v>
      </c>
      <c r="L68" s="543" t="s">
        <v>1902</v>
      </c>
      <c r="M68" s="550">
        <v>42065</v>
      </c>
      <c r="N68" s="546">
        <v>42173</v>
      </c>
      <c r="O68" s="1005">
        <v>1</v>
      </c>
      <c r="P68" s="1006">
        <v>1</v>
      </c>
      <c r="Q68" s="121" t="s">
        <v>1864</v>
      </c>
    </row>
    <row r="69" spans="1:17" ht="22.5">
      <c r="A69" s="476" t="s">
        <v>1050</v>
      </c>
      <c r="B69" s="477">
        <f>SUM(F70)</f>
        <v>30000000</v>
      </c>
      <c r="C69" s="109"/>
      <c r="D69" s="109"/>
      <c r="E69" s="542"/>
      <c r="F69" s="543"/>
      <c r="G69" s="109"/>
      <c r="H69" s="546"/>
      <c r="I69" s="109"/>
      <c r="J69" s="109"/>
      <c r="K69" s="109"/>
      <c r="L69" s="549"/>
      <c r="M69" s="121"/>
      <c r="N69" s="121"/>
      <c r="O69" s="121"/>
      <c r="P69" s="1006"/>
      <c r="Q69" s="121"/>
    </row>
    <row r="70" spans="1:17" ht="33.75">
      <c r="A70" s="109"/>
      <c r="B70" s="477"/>
      <c r="C70" s="109" t="s">
        <v>83</v>
      </c>
      <c r="D70" s="109" t="s">
        <v>37</v>
      </c>
      <c r="E70" s="542" t="s">
        <v>1051</v>
      </c>
      <c r="F70" s="543">
        <v>30000000</v>
      </c>
      <c r="G70" s="546" t="s">
        <v>13</v>
      </c>
      <c r="H70" s="546">
        <v>42153</v>
      </c>
      <c r="I70" s="109" t="s">
        <v>1005</v>
      </c>
      <c r="J70" s="109" t="s">
        <v>1005</v>
      </c>
      <c r="K70" s="1007" t="s">
        <v>70</v>
      </c>
      <c r="L70" s="543" t="s">
        <v>1903</v>
      </c>
      <c r="M70" s="546">
        <v>42151</v>
      </c>
      <c r="N70" s="546">
        <v>42173</v>
      </c>
      <c r="O70" s="1005">
        <v>1</v>
      </c>
      <c r="P70" s="1006">
        <v>1</v>
      </c>
      <c r="Q70" s="121" t="s">
        <v>1864</v>
      </c>
    </row>
    <row r="71" spans="1:17" ht="22.5">
      <c r="A71" s="476" t="s">
        <v>1052</v>
      </c>
      <c r="B71" s="477">
        <f>SUM(F72)</f>
        <v>30000000</v>
      </c>
      <c r="C71" s="109"/>
      <c r="D71" s="109"/>
      <c r="E71" s="542"/>
      <c r="F71" s="543"/>
      <c r="G71" s="109"/>
      <c r="H71" s="546"/>
      <c r="I71" s="109"/>
      <c r="J71" s="109"/>
      <c r="K71" s="109"/>
      <c r="L71" s="549"/>
      <c r="M71" s="109"/>
      <c r="N71" s="121"/>
      <c r="O71" s="121"/>
      <c r="P71" s="1006"/>
      <c r="Q71" s="121"/>
    </row>
    <row r="72" spans="1:17" ht="33.75">
      <c r="A72" s="109"/>
      <c r="B72" s="477"/>
      <c r="C72" s="109" t="s">
        <v>83</v>
      </c>
      <c r="D72" s="109" t="s">
        <v>37</v>
      </c>
      <c r="E72" s="542" t="s">
        <v>1053</v>
      </c>
      <c r="F72" s="543">
        <v>30000000</v>
      </c>
      <c r="G72" s="546" t="s">
        <v>13</v>
      </c>
      <c r="H72" s="546">
        <v>42153</v>
      </c>
      <c r="I72" s="109" t="s">
        <v>1005</v>
      </c>
      <c r="J72" s="109" t="s">
        <v>1005</v>
      </c>
      <c r="K72" s="1007" t="s">
        <v>70</v>
      </c>
      <c r="L72" s="1008" t="s">
        <v>1904</v>
      </c>
      <c r="M72" s="546">
        <v>42150</v>
      </c>
      <c r="N72" s="546">
        <v>42173</v>
      </c>
      <c r="O72" s="1005">
        <v>1</v>
      </c>
      <c r="P72" s="1006">
        <v>1</v>
      </c>
      <c r="Q72" s="121" t="s">
        <v>1864</v>
      </c>
    </row>
    <row r="73" spans="1:17" ht="30.75" customHeight="1">
      <c r="A73" s="476" t="s">
        <v>907</v>
      </c>
      <c r="B73" s="477">
        <f>SUM(F74:F76)</f>
        <v>229999121</v>
      </c>
      <c r="C73" s="109"/>
      <c r="D73" s="109"/>
      <c r="E73" s="542"/>
      <c r="F73" s="543"/>
      <c r="G73" s="109"/>
      <c r="H73" s="546"/>
      <c r="I73" s="109"/>
      <c r="J73" s="109"/>
      <c r="K73" s="109"/>
      <c r="L73" s="549"/>
      <c r="M73" s="109"/>
      <c r="N73" s="121"/>
      <c r="O73" s="121"/>
      <c r="P73" s="121"/>
      <c r="Q73" s="121"/>
    </row>
    <row r="74" spans="1:17" ht="36.75" customHeight="1">
      <c r="A74" s="109"/>
      <c r="B74" s="477"/>
      <c r="C74" s="109" t="s">
        <v>78</v>
      </c>
      <c r="D74" s="109" t="s">
        <v>37</v>
      </c>
      <c r="E74" s="542" t="s">
        <v>1054</v>
      </c>
      <c r="F74" s="543">
        <v>124999998</v>
      </c>
      <c r="G74" s="546" t="s">
        <v>4</v>
      </c>
      <c r="H74" s="546">
        <v>42095</v>
      </c>
      <c r="I74" s="109" t="s">
        <v>1005</v>
      </c>
      <c r="J74" s="109" t="s">
        <v>1005</v>
      </c>
      <c r="K74" s="1007" t="s">
        <v>69</v>
      </c>
      <c r="L74" s="543" t="s">
        <v>1905</v>
      </c>
      <c r="M74" s="546">
        <v>42019</v>
      </c>
      <c r="N74" s="546">
        <v>42095</v>
      </c>
      <c r="O74" s="1005">
        <v>1</v>
      </c>
      <c r="P74" s="1006">
        <v>1</v>
      </c>
      <c r="Q74" s="121" t="s">
        <v>1340</v>
      </c>
    </row>
    <row r="75" spans="1:17" ht="51.75" customHeight="1">
      <c r="A75" s="109"/>
      <c r="B75" s="477"/>
      <c r="C75" s="109" t="s">
        <v>789</v>
      </c>
      <c r="D75" s="109" t="s">
        <v>37</v>
      </c>
      <c r="E75" s="542" t="s">
        <v>1906</v>
      </c>
      <c r="F75" s="543">
        <v>49999200</v>
      </c>
      <c r="G75" s="546" t="s">
        <v>4</v>
      </c>
      <c r="H75" s="546">
        <v>42153</v>
      </c>
      <c r="I75" s="109" t="s">
        <v>1005</v>
      </c>
      <c r="J75" s="109" t="s">
        <v>1005</v>
      </c>
      <c r="K75" s="1007" t="s">
        <v>70</v>
      </c>
      <c r="L75" s="543" t="s">
        <v>1907</v>
      </c>
      <c r="M75" s="546">
        <v>42158</v>
      </c>
      <c r="N75" s="546">
        <v>42173</v>
      </c>
      <c r="O75" s="1005">
        <v>1</v>
      </c>
      <c r="P75" s="1006">
        <v>1</v>
      </c>
      <c r="Q75" s="121" t="s">
        <v>1864</v>
      </c>
    </row>
    <row r="76" spans="1:17" ht="61.5" customHeight="1">
      <c r="A76" s="109"/>
      <c r="B76" s="477"/>
      <c r="C76" s="109" t="s">
        <v>80</v>
      </c>
      <c r="D76" s="109" t="s">
        <v>37</v>
      </c>
      <c r="E76" s="542" t="s">
        <v>1055</v>
      </c>
      <c r="F76" s="543">
        <v>54999923</v>
      </c>
      <c r="G76" s="546" t="s">
        <v>4</v>
      </c>
      <c r="H76" s="546">
        <v>42153</v>
      </c>
      <c r="I76" s="109" t="s">
        <v>1005</v>
      </c>
      <c r="J76" s="109" t="s">
        <v>1005</v>
      </c>
      <c r="K76" s="1007" t="s">
        <v>70</v>
      </c>
      <c r="L76" s="543" t="s">
        <v>1908</v>
      </c>
      <c r="M76" s="546">
        <v>42038</v>
      </c>
      <c r="N76" s="546">
        <v>42173</v>
      </c>
      <c r="O76" s="1005">
        <v>1</v>
      </c>
      <c r="P76" s="1006">
        <v>1</v>
      </c>
      <c r="Q76" s="121" t="s">
        <v>1864</v>
      </c>
    </row>
    <row r="77" spans="1:17" ht="39.75" customHeight="1">
      <c r="A77" s="476" t="s">
        <v>1056</v>
      </c>
      <c r="B77" s="477">
        <f>SUM(F78:F81)</f>
        <v>167000000</v>
      </c>
      <c r="C77" s="109"/>
      <c r="D77" s="109"/>
      <c r="E77" s="542"/>
      <c r="F77" s="543"/>
      <c r="G77" s="109"/>
      <c r="H77" s="546"/>
      <c r="I77" s="109"/>
      <c r="J77" s="109"/>
      <c r="K77" s="109"/>
      <c r="L77" s="549"/>
      <c r="M77" s="121"/>
      <c r="N77" s="121"/>
      <c r="O77" s="121"/>
      <c r="P77" s="121"/>
      <c r="Q77" s="121"/>
    </row>
    <row r="78" spans="1:17" ht="33.75">
      <c r="A78" s="109"/>
      <c r="B78" s="477"/>
      <c r="C78" s="109" t="s">
        <v>78</v>
      </c>
      <c r="D78" s="109" t="s">
        <v>37</v>
      </c>
      <c r="E78" s="542" t="s">
        <v>1057</v>
      </c>
      <c r="F78" s="543">
        <v>42000000</v>
      </c>
      <c r="G78" s="546" t="s">
        <v>4</v>
      </c>
      <c r="H78" s="546">
        <v>42040</v>
      </c>
      <c r="I78" s="109" t="s">
        <v>1005</v>
      </c>
      <c r="J78" s="109" t="s">
        <v>1005</v>
      </c>
      <c r="K78" s="1007" t="s">
        <v>89</v>
      </c>
      <c r="L78" s="1008" t="s">
        <v>1909</v>
      </c>
      <c r="M78" s="546">
        <v>42019</v>
      </c>
      <c r="N78" s="546">
        <v>42040</v>
      </c>
      <c r="O78" s="1005">
        <v>1</v>
      </c>
      <c r="P78" s="1012">
        <v>1</v>
      </c>
      <c r="Q78" s="121" t="s">
        <v>1864</v>
      </c>
    </row>
    <row r="79" spans="1:17" ht="33.75">
      <c r="A79" s="109"/>
      <c r="B79" s="477"/>
      <c r="C79" s="109" t="s">
        <v>694</v>
      </c>
      <c r="D79" s="109" t="s">
        <v>37</v>
      </c>
      <c r="E79" s="542" t="s">
        <v>1058</v>
      </c>
      <c r="F79" s="543">
        <v>52000000</v>
      </c>
      <c r="G79" s="546" t="s">
        <v>4</v>
      </c>
      <c r="H79" s="546">
        <v>42040</v>
      </c>
      <c r="I79" s="109" t="s">
        <v>1005</v>
      </c>
      <c r="J79" s="109" t="s">
        <v>1005</v>
      </c>
      <c r="K79" s="1007" t="s">
        <v>89</v>
      </c>
      <c r="L79" s="1008" t="s">
        <v>1910</v>
      </c>
      <c r="M79" s="546">
        <v>42019</v>
      </c>
      <c r="N79" s="546">
        <v>42040</v>
      </c>
      <c r="O79" s="1005">
        <v>1</v>
      </c>
      <c r="P79" s="1012">
        <v>1</v>
      </c>
      <c r="Q79" s="121" t="s">
        <v>1864</v>
      </c>
    </row>
    <row r="80" spans="1:17" ht="33.75">
      <c r="A80" s="109"/>
      <c r="B80" s="477"/>
      <c r="C80" s="109" t="s">
        <v>80</v>
      </c>
      <c r="D80" s="109" t="s">
        <v>37</v>
      </c>
      <c r="E80" s="542" t="s">
        <v>1059</v>
      </c>
      <c r="F80" s="543">
        <v>38000000</v>
      </c>
      <c r="G80" s="546" t="s">
        <v>4</v>
      </c>
      <c r="H80" s="546">
        <v>42040</v>
      </c>
      <c r="I80" s="109" t="s">
        <v>1005</v>
      </c>
      <c r="J80" s="109" t="s">
        <v>1005</v>
      </c>
      <c r="K80" s="1007" t="s">
        <v>89</v>
      </c>
      <c r="L80" s="1008" t="s">
        <v>1911</v>
      </c>
      <c r="M80" s="546">
        <v>42019</v>
      </c>
      <c r="N80" s="546">
        <v>42040</v>
      </c>
      <c r="O80" s="1005">
        <v>1</v>
      </c>
      <c r="P80" s="1012">
        <v>1</v>
      </c>
      <c r="Q80" s="121" t="s">
        <v>1864</v>
      </c>
    </row>
    <row r="81" spans="1:17" ht="33.75">
      <c r="A81" s="109"/>
      <c r="B81" s="477"/>
      <c r="C81" s="109" t="s">
        <v>763</v>
      </c>
      <c r="D81" s="109" t="s">
        <v>37</v>
      </c>
      <c r="E81" s="542" t="s">
        <v>1060</v>
      </c>
      <c r="F81" s="543">
        <v>35000000</v>
      </c>
      <c r="G81" s="546" t="s">
        <v>4</v>
      </c>
      <c r="H81" s="546">
        <v>42040</v>
      </c>
      <c r="I81" s="109" t="s">
        <v>1005</v>
      </c>
      <c r="J81" s="109" t="s">
        <v>1005</v>
      </c>
      <c r="K81" s="1007" t="s">
        <v>89</v>
      </c>
      <c r="L81" s="1008" t="s">
        <v>1912</v>
      </c>
      <c r="M81" s="546">
        <v>42019</v>
      </c>
      <c r="N81" s="546">
        <v>42040</v>
      </c>
      <c r="O81" s="1005">
        <v>1</v>
      </c>
      <c r="P81" s="1012">
        <v>1</v>
      </c>
      <c r="Q81" s="121" t="s">
        <v>1864</v>
      </c>
    </row>
    <row r="82" spans="1:17" ht="33.75">
      <c r="A82" s="551" t="s">
        <v>593</v>
      </c>
      <c r="B82" s="477">
        <f>SUM(F83)</f>
        <v>5000000</v>
      </c>
      <c r="C82" s="109"/>
      <c r="D82" s="109"/>
      <c r="E82" s="542"/>
      <c r="F82" s="543"/>
      <c r="G82" s="109"/>
      <c r="H82" s="546"/>
      <c r="I82" s="109"/>
      <c r="J82" s="109"/>
      <c r="K82" s="109"/>
      <c r="L82" s="549"/>
      <c r="M82" s="109"/>
      <c r="N82" s="121"/>
      <c r="O82" s="121"/>
      <c r="P82" s="121"/>
      <c r="Q82" s="121"/>
    </row>
    <row r="83" spans="1:17" ht="45">
      <c r="A83" s="109"/>
      <c r="B83" s="477"/>
      <c r="C83" s="109" t="s">
        <v>83</v>
      </c>
      <c r="D83" s="109" t="s">
        <v>37</v>
      </c>
      <c r="E83" s="542" t="s">
        <v>1061</v>
      </c>
      <c r="F83" s="543">
        <v>5000000</v>
      </c>
      <c r="G83" s="546" t="s">
        <v>13</v>
      </c>
      <c r="H83" s="546">
        <v>42216</v>
      </c>
      <c r="I83" s="109" t="s">
        <v>1005</v>
      </c>
      <c r="J83" s="109" t="s">
        <v>1005</v>
      </c>
      <c r="K83" s="1007" t="s">
        <v>70</v>
      </c>
      <c r="L83" s="1008">
        <v>5000000</v>
      </c>
      <c r="M83" s="546">
        <v>42149</v>
      </c>
      <c r="N83" s="546">
        <v>42200</v>
      </c>
      <c r="O83" s="1005">
        <v>1</v>
      </c>
      <c r="P83" s="1006">
        <v>1</v>
      </c>
      <c r="Q83" s="121" t="s">
        <v>1864</v>
      </c>
    </row>
    <row r="84" spans="1:17" ht="52.5" customHeight="1">
      <c r="A84" s="540" t="s">
        <v>1062</v>
      </c>
      <c r="B84" s="541">
        <f>+B85+B89</f>
        <v>527993306</v>
      </c>
      <c r="C84" s="109"/>
      <c r="D84" s="477"/>
      <c r="E84" s="542"/>
      <c r="F84" s="543"/>
      <c r="G84" s="109"/>
      <c r="H84" s="546"/>
      <c r="I84" s="109"/>
      <c r="J84" s="109"/>
      <c r="K84" s="109"/>
      <c r="L84" s="549"/>
      <c r="M84" s="109"/>
      <c r="N84" s="121"/>
      <c r="O84" s="121"/>
      <c r="P84" s="121"/>
      <c r="Q84" s="121"/>
    </row>
    <row r="85" spans="1:17" ht="33.75">
      <c r="A85" s="476" t="s">
        <v>147</v>
      </c>
      <c r="B85" s="477">
        <f>SUM(F86:F88)</f>
        <v>149999706</v>
      </c>
      <c r="C85" s="109"/>
      <c r="D85" s="109"/>
      <c r="E85" s="542"/>
      <c r="F85" s="543"/>
      <c r="G85" s="109"/>
      <c r="H85" s="546"/>
      <c r="I85" s="109"/>
      <c r="J85" s="109"/>
      <c r="K85" s="109"/>
      <c r="L85" s="549"/>
      <c r="M85" s="109"/>
      <c r="N85" s="121"/>
      <c r="O85" s="121"/>
      <c r="P85" s="121"/>
      <c r="Q85" s="121"/>
    </row>
    <row r="86" spans="1:17" ht="53.25" customHeight="1">
      <c r="A86" s="109"/>
      <c r="B86" s="477"/>
      <c r="C86" s="109" t="s">
        <v>1063</v>
      </c>
      <c r="D86" s="109" t="s">
        <v>37</v>
      </c>
      <c r="E86" s="542" t="s">
        <v>1064</v>
      </c>
      <c r="F86" s="543">
        <v>49999996</v>
      </c>
      <c r="G86" s="546" t="s">
        <v>4</v>
      </c>
      <c r="H86" s="546">
        <v>42067</v>
      </c>
      <c r="I86" s="109" t="s">
        <v>1005</v>
      </c>
      <c r="J86" s="109" t="s">
        <v>1005</v>
      </c>
      <c r="K86" s="1007" t="s">
        <v>36</v>
      </c>
      <c r="L86" s="543" t="s">
        <v>1913</v>
      </c>
      <c r="M86" s="546">
        <v>42037</v>
      </c>
      <c r="N86" s="546">
        <v>42067</v>
      </c>
      <c r="O86" s="1013">
        <v>1</v>
      </c>
      <c r="P86" s="1013">
        <v>1</v>
      </c>
      <c r="Q86" s="547" t="s">
        <v>1864</v>
      </c>
    </row>
    <row r="87" spans="1:17" ht="66" customHeight="1">
      <c r="A87" s="109"/>
      <c r="B87" s="477"/>
      <c r="C87" s="109" t="s">
        <v>1065</v>
      </c>
      <c r="D87" s="109" t="s">
        <v>37</v>
      </c>
      <c r="E87" s="542" t="s">
        <v>1066</v>
      </c>
      <c r="F87" s="543">
        <v>49996655</v>
      </c>
      <c r="G87" s="546" t="s">
        <v>4</v>
      </c>
      <c r="H87" s="546">
        <v>42153</v>
      </c>
      <c r="I87" s="109" t="s">
        <v>1005</v>
      </c>
      <c r="J87" s="109" t="s">
        <v>1005</v>
      </c>
      <c r="K87" s="1007" t="s">
        <v>70</v>
      </c>
      <c r="L87" s="543" t="s">
        <v>1914</v>
      </c>
      <c r="M87" s="546">
        <v>42037</v>
      </c>
      <c r="N87" s="546">
        <v>42173</v>
      </c>
      <c r="O87" s="1005">
        <v>1</v>
      </c>
      <c r="P87" s="1006">
        <v>1</v>
      </c>
      <c r="Q87" s="121" t="s">
        <v>1864</v>
      </c>
    </row>
    <row r="88" spans="1:17" ht="69.75" customHeight="1">
      <c r="A88" s="109"/>
      <c r="B88" s="477"/>
      <c r="C88" s="109" t="s">
        <v>1008</v>
      </c>
      <c r="D88" s="109" t="s">
        <v>37</v>
      </c>
      <c r="E88" s="542" t="s">
        <v>1067</v>
      </c>
      <c r="F88" s="543">
        <f>49996655+6400</f>
        <v>50003055</v>
      </c>
      <c r="G88" s="546" t="s">
        <v>4</v>
      </c>
      <c r="H88" s="546">
        <v>42153</v>
      </c>
      <c r="I88" s="109" t="s">
        <v>1005</v>
      </c>
      <c r="J88" s="109" t="s">
        <v>1005</v>
      </c>
      <c r="K88" s="1007" t="s">
        <v>70</v>
      </c>
      <c r="L88" s="543" t="s">
        <v>1915</v>
      </c>
      <c r="M88" s="546">
        <v>42065</v>
      </c>
      <c r="N88" s="546">
        <v>42173</v>
      </c>
      <c r="O88" s="1005">
        <v>1</v>
      </c>
      <c r="P88" s="1006">
        <v>1</v>
      </c>
      <c r="Q88" s="121" t="s">
        <v>1864</v>
      </c>
    </row>
    <row r="89" spans="1:17" ht="22.5">
      <c r="A89" s="476" t="s">
        <v>1068</v>
      </c>
      <c r="B89" s="477">
        <f>SUM(F90:F93)</f>
        <v>377993600</v>
      </c>
      <c r="C89" s="109"/>
      <c r="D89" s="109"/>
      <c r="E89" s="542"/>
      <c r="F89" s="543"/>
      <c r="G89" s="109"/>
      <c r="H89" s="546"/>
      <c r="I89" s="109"/>
      <c r="J89" s="109"/>
      <c r="K89" s="109"/>
      <c r="L89" s="549"/>
      <c r="M89" s="109"/>
      <c r="N89" s="121"/>
      <c r="O89" s="121"/>
      <c r="P89" s="121"/>
      <c r="Q89" s="121"/>
    </row>
    <row r="90" spans="1:17" ht="51.75" customHeight="1">
      <c r="A90" s="109"/>
      <c r="B90" s="477"/>
      <c r="C90" s="109" t="s">
        <v>1069</v>
      </c>
      <c r="D90" s="109" t="s">
        <v>37</v>
      </c>
      <c r="E90" s="542" t="s">
        <v>1070</v>
      </c>
      <c r="F90" s="543">
        <v>125003107</v>
      </c>
      <c r="G90" s="546" t="s">
        <v>4</v>
      </c>
      <c r="H90" s="546">
        <v>42095</v>
      </c>
      <c r="I90" s="109" t="s">
        <v>1005</v>
      </c>
      <c r="J90" s="109" t="s">
        <v>1005</v>
      </c>
      <c r="K90" s="1007" t="s">
        <v>36</v>
      </c>
      <c r="L90" s="543" t="s">
        <v>1916</v>
      </c>
      <c r="M90" s="546">
        <v>42037</v>
      </c>
      <c r="N90" s="546">
        <v>42095</v>
      </c>
      <c r="O90" s="1005">
        <v>1</v>
      </c>
      <c r="P90" s="1006">
        <v>1</v>
      </c>
      <c r="Q90" s="121" t="s">
        <v>1864</v>
      </c>
    </row>
    <row r="91" spans="1:17" ht="64.5" customHeight="1">
      <c r="A91" s="109"/>
      <c r="B91" s="477"/>
      <c r="C91" s="109" t="s">
        <v>78</v>
      </c>
      <c r="D91" s="109" t="s">
        <v>37</v>
      </c>
      <c r="E91" s="542" t="s">
        <v>1071</v>
      </c>
      <c r="F91" s="543">
        <v>124996893</v>
      </c>
      <c r="G91" s="546" t="s">
        <v>4</v>
      </c>
      <c r="H91" s="546">
        <v>42153</v>
      </c>
      <c r="I91" s="109" t="s">
        <v>1005</v>
      </c>
      <c r="J91" s="109" t="s">
        <v>1005</v>
      </c>
      <c r="K91" s="1007" t="s">
        <v>70</v>
      </c>
      <c r="L91" s="543" t="s">
        <v>1917</v>
      </c>
      <c r="M91" s="546">
        <v>42038</v>
      </c>
      <c r="N91" s="546">
        <v>42185</v>
      </c>
      <c r="O91" s="1005">
        <v>1</v>
      </c>
      <c r="P91" s="1006">
        <v>1</v>
      </c>
      <c r="Q91" s="121" t="s">
        <v>1864</v>
      </c>
    </row>
    <row r="92" spans="1:17" ht="64.5" customHeight="1">
      <c r="A92" s="109"/>
      <c r="B92" s="477"/>
      <c r="C92" s="109" t="s">
        <v>761</v>
      </c>
      <c r="D92" s="109" t="s">
        <v>37</v>
      </c>
      <c r="E92" s="542" t="s">
        <v>1918</v>
      </c>
      <c r="F92" s="543">
        <f>64000000-3200</f>
        <v>63996800</v>
      </c>
      <c r="G92" s="544" t="s">
        <v>79</v>
      </c>
      <c r="H92" s="546">
        <v>42352</v>
      </c>
      <c r="I92" s="109" t="s">
        <v>1005</v>
      </c>
      <c r="J92" s="109" t="s">
        <v>1005</v>
      </c>
      <c r="K92" s="1007" t="s">
        <v>79</v>
      </c>
      <c r="L92" s="543">
        <f>64000000-3200</f>
        <v>63996800</v>
      </c>
      <c r="M92" s="544">
        <v>42347</v>
      </c>
      <c r="N92" s="546">
        <v>42352</v>
      </c>
      <c r="O92" s="1006">
        <v>1</v>
      </c>
      <c r="P92" s="1006">
        <v>1</v>
      </c>
      <c r="Q92" s="547" t="s">
        <v>1864</v>
      </c>
    </row>
    <row r="93" spans="1:17" ht="64.5" customHeight="1">
      <c r="A93" s="109"/>
      <c r="B93" s="477"/>
      <c r="C93" s="109" t="s">
        <v>1065</v>
      </c>
      <c r="D93" s="109" t="s">
        <v>37</v>
      </c>
      <c r="E93" s="542" t="s">
        <v>1919</v>
      </c>
      <c r="F93" s="543">
        <f>64000000-3200</f>
        <v>63996800</v>
      </c>
      <c r="G93" s="544" t="s">
        <v>79</v>
      </c>
      <c r="H93" s="546">
        <v>42352</v>
      </c>
      <c r="I93" s="109" t="s">
        <v>1005</v>
      </c>
      <c r="J93" s="109" t="s">
        <v>1005</v>
      </c>
      <c r="K93" s="1007" t="s">
        <v>79</v>
      </c>
      <c r="L93" s="543">
        <f>64000000-3200</f>
        <v>63996800</v>
      </c>
      <c r="M93" s="544">
        <v>42347</v>
      </c>
      <c r="N93" s="546">
        <v>42352</v>
      </c>
      <c r="O93" s="1006">
        <v>1</v>
      </c>
      <c r="P93" s="1006">
        <v>1</v>
      </c>
      <c r="Q93" s="547" t="s">
        <v>1864</v>
      </c>
    </row>
    <row r="94" spans="1:17" ht="51.75" customHeight="1">
      <c r="A94" s="540" t="s">
        <v>1072</v>
      </c>
      <c r="B94" s="541">
        <f>+B95+B97</f>
        <v>84645876</v>
      </c>
      <c r="C94" s="109"/>
      <c r="D94" s="109"/>
      <c r="E94" s="542"/>
      <c r="F94" s="543"/>
      <c r="G94" s="109"/>
      <c r="H94" s="546"/>
      <c r="I94" s="109"/>
      <c r="J94" s="109"/>
      <c r="K94" s="109"/>
      <c r="L94" s="549"/>
      <c r="M94" s="109"/>
      <c r="N94" s="121"/>
      <c r="O94" s="121"/>
      <c r="P94" s="121"/>
      <c r="Q94" s="121"/>
    </row>
    <row r="95" spans="1:17" ht="56.25" customHeight="1">
      <c r="A95" s="476" t="s">
        <v>1073</v>
      </c>
      <c r="B95" s="477">
        <f>SUM(F96)</f>
        <v>34645876</v>
      </c>
      <c r="C95" s="109"/>
      <c r="D95" s="109"/>
      <c r="E95" s="542"/>
      <c r="F95" s="543"/>
      <c r="G95" s="109"/>
      <c r="H95" s="546"/>
      <c r="I95" s="109"/>
      <c r="J95" s="109"/>
      <c r="K95" s="109"/>
      <c r="L95" s="549"/>
      <c r="M95" s="109"/>
      <c r="N95" s="121"/>
      <c r="O95" s="121"/>
      <c r="P95" s="121"/>
      <c r="Q95" s="121"/>
    </row>
    <row r="96" spans="1:17" ht="33.75">
      <c r="A96" s="477"/>
      <c r="B96" s="477"/>
      <c r="C96" s="109" t="s">
        <v>83</v>
      </c>
      <c r="D96" s="109" t="s">
        <v>37</v>
      </c>
      <c r="E96" s="542" t="s">
        <v>1074</v>
      </c>
      <c r="F96" s="543">
        <f>35007969-362093</f>
        <v>34645876</v>
      </c>
      <c r="G96" s="546" t="s">
        <v>4</v>
      </c>
      <c r="H96" s="546">
        <v>42052</v>
      </c>
      <c r="I96" s="109" t="s">
        <v>1005</v>
      </c>
      <c r="J96" s="109" t="s">
        <v>1005</v>
      </c>
      <c r="K96" s="1007" t="s">
        <v>79</v>
      </c>
      <c r="L96" s="543">
        <f>35007969-362093</f>
        <v>34645876</v>
      </c>
      <c r="M96" s="546">
        <v>42038</v>
      </c>
      <c r="N96" s="546">
        <v>42052</v>
      </c>
      <c r="O96" s="1005">
        <v>1</v>
      </c>
      <c r="P96" s="1006">
        <v>1</v>
      </c>
      <c r="Q96" s="121" t="s">
        <v>1864</v>
      </c>
    </row>
    <row r="97" spans="1:17">
      <c r="A97" s="548" t="s">
        <v>1075</v>
      </c>
      <c r="B97" s="477">
        <f>SUM(F98)</f>
        <v>50000000</v>
      </c>
      <c r="C97" s="109"/>
      <c r="D97" s="109"/>
      <c r="E97" s="542"/>
      <c r="F97" s="543"/>
      <c r="G97" s="109"/>
      <c r="H97" s="546"/>
      <c r="I97" s="109"/>
      <c r="J97" s="109"/>
      <c r="K97" s="109"/>
      <c r="L97" s="549"/>
      <c r="M97" s="109"/>
      <c r="N97" s="546"/>
      <c r="O97" s="121"/>
      <c r="P97" s="121"/>
      <c r="Q97" s="121"/>
    </row>
    <row r="98" spans="1:17" ht="33.75">
      <c r="A98" s="109"/>
      <c r="B98" s="477"/>
      <c r="C98" s="109" t="s">
        <v>83</v>
      </c>
      <c r="D98" s="109" t="s">
        <v>37</v>
      </c>
      <c r="E98" s="542" t="s">
        <v>1076</v>
      </c>
      <c r="F98" s="543">
        <v>50000000</v>
      </c>
      <c r="G98" s="546" t="s">
        <v>4</v>
      </c>
      <c r="H98" s="546">
        <v>42052</v>
      </c>
      <c r="I98" s="109" t="s">
        <v>1005</v>
      </c>
      <c r="J98" s="109" t="s">
        <v>1005</v>
      </c>
      <c r="K98" s="1007" t="s">
        <v>36</v>
      </c>
      <c r="L98" s="1008" t="s">
        <v>1920</v>
      </c>
      <c r="M98" s="546">
        <v>42038</v>
      </c>
      <c r="N98" s="546">
        <v>42052</v>
      </c>
      <c r="O98" s="1005">
        <v>1</v>
      </c>
      <c r="P98" s="1006">
        <v>1</v>
      </c>
      <c r="Q98" s="121" t="s">
        <v>1864</v>
      </c>
    </row>
    <row r="99" spans="1:17" ht="33.75">
      <c r="A99" s="540" t="s">
        <v>76</v>
      </c>
      <c r="B99" s="541">
        <f>+B100</f>
        <v>804000000</v>
      </c>
      <c r="C99" s="109"/>
      <c r="D99" s="109"/>
      <c r="E99" s="542"/>
      <c r="F99" s="543"/>
      <c r="G99" s="109"/>
      <c r="H99" s="546"/>
      <c r="I99" s="109"/>
      <c r="J99" s="109"/>
      <c r="K99" s="109"/>
      <c r="L99" s="549"/>
      <c r="M99" s="109"/>
      <c r="N99" s="121"/>
      <c r="O99" s="121"/>
      <c r="P99" s="121"/>
      <c r="Q99" s="121"/>
    </row>
    <row r="100" spans="1:17" ht="22.5">
      <c r="A100" s="476" t="s">
        <v>77</v>
      </c>
      <c r="B100" s="477">
        <f>SUM(F101:F109)</f>
        <v>804000000</v>
      </c>
      <c r="C100" s="109"/>
      <c r="D100" s="109"/>
      <c r="E100" s="542"/>
      <c r="F100" s="543"/>
      <c r="G100" s="109"/>
      <c r="H100" s="546"/>
      <c r="I100" s="109"/>
      <c r="J100" s="109"/>
      <c r="K100" s="109"/>
      <c r="L100" s="549"/>
      <c r="M100" s="109"/>
      <c r="N100" s="121"/>
      <c r="O100" s="121"/>
      <c r="P100" s="121"/>
      <c r="Q100" s="121"/>
    </row>
    <row r="101" spans="1:17" ht="47.25" customHeight="1">
      <c r="A101" s="109"/>
      <c r="B101" s="477"/>
      <c r="C101" s="109" t="s">
        <v>78</v>
      </c>
      <c r="D101" s="109" t="s">
        <v>37</v>
      </c>
      <c r="E101" s="542" t="s">
        <v>1077</v>
      </c>
      <c r="F101" s="543">
        <v>125000000</v>
      </c>
      <c r="G101" s="546" t="s">
        <v>13</v>
      </c>
      <c r="H101" s="546">
        <v>42153</v>
      </c>
      <c r="I101" s="109" t="s">
        <v>1005</v>
      </c>
      <c r="J101" s="109" t="s">
        <v>1005</v>
      </c>
      <c r="K101" s="1007" t="s">
        <v>70</v>
      </c>
      <c r="L101" s="1008" t="s">
        <v>1921</v>
      </c>
      <c r="M101" s="546">
        <v>42145</v>
      </c>
      <c r="N101" s="546">
        <v>42180</v>
      </c>
      <c r="O101" s="1005">
        <v>1</v>
      </c>
      <c r="P101" s="1006">
        <v>1</v>
      </c>
      <c r="Q101" s="121" t="s">
        <v>1864</v>
      </c>
    </row>
    <row r="102" spans="1:17" ht="47.25" customHeight="1">
      <c r="A102" s="109"/>
      <c r="B102" s="477"/>
      <c r="C102" s="109" t="s">
        <v>78</v>
      </c>
      <c r="D102" s="109" t="s">
        <v>37</v>
      </c>
      <c r="E102" s="542" t="s">
        <v>1078</v>
      </c>
      <c r="F102" s="543">
        <v>64000000</v>
      </c>
      <c r="G102" s="546" t="s">
        <v>13</v>
      </c>
      <c r="H102" s="546">
        <v>42216</v>
      </c>
      <c r="I102" s="109" t="s">
        <v>1005</v>
      </c>
      <c r="J102" s="109" t="s">
        <v>1005</v>
      </c>
      <c r="K102" s="1007" t="s">
        <v>70</v>
      </c>
      <c r="L102" s="1008">
        <v>64000000</v>
      </c>
      <c r="M102" s="546">
        <v>42150</v>
      </c>
      <c r="N102" s="546">
        <v>42200</v>
      </c>
      <c r="O102" s="1005">
        <v>1</v>
      </c>
      <c r="P102" s="1006">
        <v>1</v>
      </c>
      <c r="Q102" s="121" t="s">
        <v>1864</v>
      </c>
    </row>
    <row r="103" spans="1:17" ht="47.25" customHeight="1">
      <c r="A103" s="109"/>
      <c r="B103" s="477"/>
      <c r="C103" s="109" t="s">
        <v>789</v>
      </c>
      <c r="D103" s="109" t="s">
        <v>37</v>
      </c>
      <c r="E103" s="542" t="s">
        <v>1079</v>
      </c>
      <c r="F103" s="543">
        <v>64000000</v>
      </c>
      <c r="G103" s="546" t="s">
        <v>13</v>
      </c>
      <c r="H103" s="546">
        <v>42216</v>
      </c>
      <c r="I103" s="109" t="s">
        <v>1005</v>
      </c>
      <c r="J103" s="109" t="s">
        <v>1005</v>
      </c>
      <c r="K103" s="1007" t="s">
        <v>70</v>
      </c>
      <c r="L103" s="1008">
        <v>64000000</v>
      </c>
      <c r="M103" s="546">
        <v>42150</v>
      </c>
      <c r="N103" s="546">
        <v>42200</v>
      </c>
      <c r="O103" s="1005">
        <v>1</v>
      </c>
      <c r="P103" s="1006">
        <v>1</v>
      </c>
      <c r="Q103" s="121" t="s">
        <v>1864</v>
      </c>
    </row>
    <row r="104" spans="1:17" ht="98.25" customHeight="1">
      <c r="A104" s="109"/>
      <c r="B104" s="477"/>
      <c r="C104" s="109" t="s">
        <v>694</v>
      </c>
      <c r="D104" s="109" t="s">
        <v>37</v>
      </c>
      <c r="E104" s="542" t="s">
        <v>1080</v>
      </c>
      <c r="F104" s="543">
        <v>64000000</v>
      </c>
      <c r="G104" s="546" t="s">
        <v>13</v>
      </c>
      <c r="H104" s="546">
        <v>42216</v>
      </c>
      <c r="I104" s="109" t="s">
        <v>1005</v>
      </c>
      <c r="J104" s="109" t="s">
        <v>1005</v>
      </c>
      <c r="K104" s="1007" t="s">
        <v>70</v>
      </c>
      <c r="L104" s="1008">
        <v>64000000</v>
      </c>
      <c r="M104" s="546">
        <v>42150</v>
      </c>
      <c r="N104" s="546">
        <v>42200</v>
      </c>
      <c r="O104" s="1005">
        <v>0.52</v>
      </c>
      <c r="P104" s="1006">
        <v>0.52</v>
      </c>
      <c r="Q104" s="547" t="s">
        <v>1922</v>
      </c>
    </row>
    <row r="105" spans="1:17" ht="40.5" customHeight="1">
      <c r="A105" s="109"/>
      <c r="B105" s="477"/>
      <c r="C105" s="109" t="s">
        <v>1008</v>
      </c>
      <c r="D105" s="109" t="s">
        <v>37</v>
      </c>
      <c r="E105" s="542" t="s">
        <v>1081</v>
      </c>
      <c r="F105" s="543">
        <v>64000000</v>
      </c>
      <c r="G105" s="546" t="s">
        <v>13</v>
      </c>
      <c r="H105" s="546">
        <v>42216</v>
      </c>
      <c r="I105" s="109" t="s">
        <v>1005</v>
      </c>
      <c r="J105" s="109" t="s">
        <v>1005</v>
      </c>
      <c r="K105" s="1007" t="s">
        <v>70</v>
      </c>
      <c r="L105" s="1008">
        <v>64000000</v>
      </c>
      <c r="M105" s="546">
        <v>42150</v>
      </c>
      <c r="N105" s="546">
        <v>42200</v>
      </c>
      <c r="O105" s="1005">
        <v>1</v>
      </c>
      <c r="P105" s="1006">
        <v>1</v>
      </c>
      <c r="Q105" s="121" t="s">
        <v>1864</v>
      </c>
    </row>
    <row r="106" spans="1:17" ht="44.25" customHeight="1">
      <c r="A106" s="109"/>
      <c r="B106" s="477"/>
      <c r="C106" s="109" t="s">
        <v>763</v>
      </c>
      <c r="D106" s="109" t="s">
        <v>37</v>
      </c>
      <c r="E106" s="542" t="s">
        <v>1082</v>
      </c>
      <c r="F106" s="543">
        <v>125000000</v>
      </c>
      <c r="G106" s="546" t="s">
        <v>13</v>
      </c>
      <c r="H106" s="546">
        <v>42247</v>
      </c>
      <c r="I106" s="109" t="s">
        <v>1005</v>
      </c>
      <c r="J106" s="109" t="s">
        <v>1005</v>
      </c>
      <c r="K106" s="1007" t="s">
        <v>70</v>
      </c>
      <c r="L106" s="1008">
        <v>125000000</v>
      </c>
      <c r="M106" s="546">
        <v>42150</v>
      </c>
      <c r="N106" s="546">
        <v>42216</v>
      </c>
      <c r="O106" s="1005">
        <v>1</v>
      </c>
      <c r="P106" s="1006">
        <v>1</v>
      </c>
      <c r="Q106" s="121" t="s">
        <v>1864</v>
      </c>
    </row>
    <row r="107" spans="1:17" ht="36.75" customHeight="1">
      <c r="A107" s="109"/>
      <c r="B107" s="477"/>
      <c r="C107" s="109" t="s">
        <v>80</v>
      </c>
      <c r="D107" s="109" t="s">
        <v>37</v>
      </c>
      <c r="E107" s="542" t="s">
        <v>1083</v>
      </c>
      <c r="F107" s="543">
        <v>125000000</v>
      </c>
      <c r="G107" s="546" t="s">
        <v>13</v>
      </c>
      <c r="H107" s="546">
        <v>42247</v>
      </c>
      <c r="I107" s="109" t="s">
        <v>1005</v>
      </c>
      <c r="J107" s="109" t="s">
        <v>1005</v>
      </c>
      <c r="K107" s="1007" t="s">
        <v>70</v>
      </c>
      <c r="L107" s="1008">
        <v>125000000</v>
      </c>
      <c r="M107" s="546">
        <v>42150</v>
      </c>
      <c r="N107" s="546">
        <v>42230</v>
      </c>
      <c r="O107" s="1005">
        <v>1</v>
      </c>
      <c r="P107" s="1006">
        <v>1</v>
      </c>
      <c r="Q107" s="121" t="s">
        <v>1864</v>
      </c>
    </row>
    <row r="108" spans="1:17" ht="34.5" customHeight="1">
      <c r="A108" s="109"/>
      <c r="B108" s="477"/>
      <c r="C108" s="109" t="s">
        <v>761</v>
      </c>
      <c r="D108" s="109" t="s">
        <v>37</v>
      </c>
      <c r="E108" s="542" t="s">
        <v>1084</v>
      </c>
      <c r="F108" s="543">
        <v>109000000</v>
      </c>
      <c r="G108" s="546" t="s">
        <v>13</v>
      </c>
      <c r="H108" s="546">
        <v>42247</v>
      </c>
      <c r="I108" s="109" t="s">
        <v>1005</v>
      </c>
      <c r="J108" s="109" t="s">
        <v>1005</v>
      </c>
      <c r="K108" s="1007" t="s">
        <v>70</v>
      </c>
      <c r="L108" s="1008">
        <v>109000000</v>
      </c>
      <c r="M108" s="546">
        <v>42150</v>
      </c>
      <c r="N108" s="546">
        <v>42216</v>
      </c>
      <c r="O108" s="1005">
        <v>1</v>
      </c>
      <c r="P108" s="1006">
        <v>1</v>
      </c>
      <c r="Q108" s="121" t="s">
        <v>1864</v>
      </c>
    </row>
    <row r="109" spans="1:17" ht="34.5" customHeight="1">
      <c r="A109" s="109"/>
      <c r="B109" s="477"/>
      <c r="C109" s="109" t="s">
        <v>78</v>
      </c>
      <c r="D109" s="109" t="s">
        <v>37</v>
      </c>
      <c r="E109" s="542" t="s">
        <v>1923</v>
      </c>
      <c r="F109" s="543">
        <v>64000000</v>
      </c>
      <c r="G109" s="544" t="s">
        <v>79</v>
      </c>
      <c r="H109" s="546">
        <v>42352</v>
      </c>
      <c r="I109" s="109" t="s">
        <v>1005</v>
      </c>
      <c r="J109" s="109" t="s">
        <v>1005</v>
      </c>
      <c r="K109" s="1007" t="s">
        <v>79</v>
      </c>
      <c r="L109" s="543">
        <v>63998785</v>
      </c>
      <c r="M109" s="544">
        <v>42347</v>
      </c>
      <c r="N109" s="546">
        <v>42352</v>
      </c>
      <c r="O109" s="1006">
        <v>1</v>
      </c>
      <c r="P109" s="1006">
        <v>1</v>
      </c>
      <c r="Q109" s="547" t="s">
        <v>1864</v>
      </c>
    </row>
    <row r="110" spans="1:17" ht="48" customHeight="1">
      <c r="A110" s="540" t="s">
        <v>1085</v>
      </c>
      <c r="B110" s="541">
        <f>+B111</f>
        <v>9889998</v>
      </c>
      <c r="C110" s="477"/>
      <c r="D110" s="109"/>
      <c r="E110" s="542"/>
      <c r="F110" s="543"/>
      <c r="G110" s="109"/>
      <c r="H110" s="546"/>
      <c r="I110" s="109"/>
      <c r="J110" s="109"/>
      <c r="K110" s="109"/>
      <c r="L110" s="549"/>
      <c r="M110" s="121"/>
      <c r="N110" s="121"/>
      <c r="O110" s="121"/>
      <c r="P110" s="121"/>
      <c r="Q110" s="121"/>
    </row>
    <row r="111" spans="1:17" ht="45">
      <c r="A111" s="476" t="s">
        <v>1086</v>
      </c>
      <c r="B111" s="477">
        <f>SUM(F112)</f>
        <v>9889998</v>
      </c>
      <c r="C111" s="109"/>
      <c r="D111" s="109"/>
      <c r="E111" s="542"/>
      <c r="F111" s="543"/>
      <c r="G111" s="109"/>
      <c r="H111" s="546"/>
      <c r="I111" s="109"/>
      <c r="J111" s="109"/>
      <c r="K111" s="109"/>
      <c r="L111" s="549"/>
      <c r="M111" s="121"/>
      <c r="N111" s="121"/>
      <c r="O111" s="121"/>
      <c r="P111" s="121"/>
      <c r="Q111" s="121"/>
    </row>
    <row r="112" spans="1:17" ht="84" customHeight="1">
      <c r="A112" s="109"/>
      <c r="B112" s="477"/>
      <c r="C112" s="109" t="s">
        <v>83</v>
      </c>
      <c r="D112" s="109" t="s">
        <v>37</v>
      </c>
      <c r="E112" s="542" t="s">
        <v>1924</v>
      </c>
      <c r="F112" s="543">
        <v>9889998</v>
      </c>
      <c r="G112" s="546" t="s">
        <v>69</v>
      </c>
      <c r="H112" s="546">
        <v>42216</v>
      </c>
      <c r="I112" s="109" t="s">
        <v>1005</v>
      </c>
      <c r="J112" s="109" t="s">
        <v>1005</v>
      </c>
      <c r="K112" s="109" t="s">
        <v>90</v>
      </c>
      <c r="L112" s="543">
        <v>9889998</v>
      </c>
      <c r="M112" s="550">
        <v>42160</v>
      </c>
      <c r="N112" s="546">
        <v>42213</v>
      </c>
      <c r="O112" s="1006">
        <v>1</v>
      </c>
      <c r="P112" s="1006">
        <v>1</v>
      </c>
      <c r="Q112" s="547" t="s">
        <v>1864</v>
      </c>
    </row>
    <row r="113" spans="1:17" ht="48.75" customHeight="1">
      <c r="A113" s="540" t="s">
        <v>1087</v>
      </c>
      <c r="B113" s="541">
        <f>+B114+B119+B121</f>
        <v>208102906</v>
      </c>
      <c r="C113" s="109"/>
      <c r="D113" s="109"/>
      <c r="E113" s="542"/>
      <c r="F113" s="543"/>
      <c r="G113" s="109"/>
      <c r="H113" s="546"/>
      <c r="I113" s="109"/>
      <c r="J113" s="109"/>
      <c r="K113" s="109"/>
      <c r="L113" s="549"/>
      <c r="M113" s="121"/>
      <c r="N113" s="121"/>
      <c r="O113" s="121"/>
      <c r="P113" s="121"/>
      <c r="Q113" s="121"/>
    </row>
    <row r="114" spans="1:17" ht="33.75">
      <c r="A114" s="476" t="s">
        <v>155</v>
      </c>
      <c r="B114" s="477">
        <f>SUM(F115:F118)</f>
        <v>149285339</v>
      </c>
      <c r="C114" s="109"/>
      <c r="D114" s="109"/>
      <c r="E114" s="542"/>
      <c r="F114" s="543"/>
      <c r="G114" s="109"/>
      <c r="H114" s="546"/>
      <c r="I114" s="109"/>
      <c r="J114" s="109"/>
      <c r="K114" s="109"/>
      <c r="L114" s="549"/>
      <c r="M114" s="121"/>
      <c r="N114" s="121"/>
      <c r="O114" s="121"/>
      <c r="P114" s="121"/>
      <c r="Q114" s="121"/>
    </row>
    <row r="115" spans="1:17" ht="45">
      <c r="A115" s="109"/>
      <c r="B115" s="477"/>
      <c r="C115" s="109" t="s">
        <v>83</v>
      </c>
      <c r="D115" s="109" t="s">
        <v>37</v>
      </c>
      <c r="E115" s="542" t="s">
        <v>1088</v>
      </c>
      <c r="F115" s="543">
        <v>110000000</v>
      </c>
      <c r="G115" s="109" t="s">
        <v>4</v>
      </c>
      <c r="H115" s="546">
        <v>42079</v>
      </c>
      <c r="I115" s="109" t="s">
        <v>1005</v>
      </c>
      <c r="J115" s="109" t="s">
        <v>1005</v>
      </c>
      <c r="K115" s="109" t="s">
        <v>79</v>
      </c>
      <c r="L115" s="543">
        <v>110000000</v>
      </c>
      <c r="M115" s="546">
        <v>42019</v>
      </c>
      <c r="N115" s="546">
        <v>42104</v>
      </c>
      <c r="O115" s="1006">
        <v>1</v>
      </c>
      <c r="P115" s="1006">
        <v>1</v>
      </c>
      <c r="Q115" s="547" t="s">
        <v>1864</v>
      </c>
    </row>
    <row r="116" spans="1:17" ht="46.5" customHeight="1">
      <c r="A116" s="109"/>
      <c r="B116" s="477"/>
      <c r="C116" s="109" t="s">
        <v>694</v>
      </c>
      <c r="D116" s="109" t="s">
        <v>37</v>
      </c>
      <c r="E116" s="542" t="s">
        <v>1089</v>
      </c>
      <c r="F116" s="543">
        <f>3363400-126061</f>
        <v>3237339</v>
      </c>
      <c r="G116" s="109" t="s">
        <v>5</v>
      </c>
      <c r="H116" s="546">
        <v>42107</v>
      </c>
      <c r="I116" s="109" t="s">
        <v>1005</v>
      </c>
      <c r="J116" s="109" t="s">
        <v>1005</v>
      </c>
      <c r="K116" s="109" t="s">
        <v>69</v>
      </c>
      <c r="L116" s="543">
        <f>3363400-126061</f>
        <v>3237339</v>
      </c>
      <c r="M116" s="546">
        <v>42055</v>
      </c>
      <c r="N116" s="546">
        <v>42075</v>
      </c>
      <c r="O116" s="545">
        <v>1</v>
      </c>
      <c r="P116" s="1006">
        <v>1</v>
      </c>
      <c r="Q116" s="547" t="s">
        <v>1864</v>
      </c>
    </row>
    <row r="117" spans="1:17" s="1011" customFormat="1" ht="59.25" customHeight="1">
      <c r="A117" s="1007"/>
      <c r="B117" s="543"/>
      <c r="C117" s="1007" t="s">
        <v>789</v>
      </c>
      <c r="D117" s="1007" t="s">
        <v>37</v>
      </c>
      <c r="E117" s="1009" t="s">
        <v>1925</v>
      </c>
      <c r="F117" s="543">
        <v>28000000</v>
      </c>
      <c r="G117" s="109" t="s">
        <v>91</v>
      </c>
      <c r="H117" s="546">
        <v>42277</v>
      </c>
      <c r="I117" s="1007" t="s">
        <v>1005</v>
      </c>
      <c r="J117" s="1007" t="s">
        <v>1005</v>
      </c>
      <c r="K117" s="1007" t="s">
        <v>90</v>
      </c>
      <c r="L117" s="543">
        <v>28000000</v>
      </c>
      <c r="M117" s="546">
        <v>42255</v>
      </c>
      <c r="N117" s="1014">
        <v>42277</v>
      </c>
      <c r="O117" s="1006">
        <v>1</v>
      </c>
      <c r="P117" s="1006">
        <v>1</v>
      </c>
      <c r="Q117" s="547" t="s">
        <v>1864</v>
      </c>
    </row>
    <row r="118" spans="1:17" s="1011" customFormat="1" ht="59.25" customHeight="1">
      <c r="A118" s="1007"/>
      <c r="B118" s="543"/>
      <c r="C118" s="1007" t="s">
        <v>694</v>
      </c>
      <c r="D118" s="1007" t="s">
        <v>37</v>
      </c>
      <c r="E118" s="542" t="s">
        <v>1089</v>
      </c>
      <c r="F118" s="543">
        <v>8048000</v>
      </c>
      <c r="G118" s="109" t="s">
        <v>89</v>
      </c>
      <c r="H118" s="546">
        <v>42277</v>
      </c>
      <c r="I118" s="1007" t="s">
        <v>1005</v>
      </c>
      <c r="J118" s="1007" t="s">
        <v>1005</v>
      </c>
      <c r="K118" s="1007" t="s">
        <v>90</v>
      </c>
      <c r="L118" s="1008">
        <v>8048000</v>
      </c>
      <c r="M118" s="546">
        <v>42242</v>
      </c>
      <c r="N118" s="546">
        <v>42277</v>
      </c>
      <c r="O118" s="1006">
        <v>1</v>
      </c>
      <c r="P118" s="1006">
        <v>1</v>
      </c>
      <c r="Q118" s="547" t="s">
        <v>1864</v>
      </c>
    </row>
    <row r="119" spans="1:17" ht="67.5" customHeight="1">
      <c r="A119" s="476" t="s">
        <v>1090</v>
      </c>
      <c r="B119" s="477">
        <f>SUM(F120)</f>
        <v>38929600</v>
      </c>
      <c r="C119" s="109"/>
      <c r="D119" s="109"/>
      <c r="E119" s="542"/>
      <c r="F119" s="543"/>
      <c r="G119" s="109"/>
      <c r="H119" s="546"/>
      <c r="I119" s="109"/>
      <c r="J119" s="109"/>
      <c r="K119" s="109"/>
      <c r="L119" s="549"/>
      <c r="M119" s="121"/>
      <c r="N119" s="121"/>
      <c r="O119" s="121"/>
      <c r="P119" s="121"/>
      <c r="Q119" s="121"/>
    </row>
    <row r="120" spans="1:17" ht="45">
      <c r="A120" s="109"/>
      <c r="B120" s="477"/>
      <c r="C120" s="109" t="s">
        <v>80</v>
      </c>
      <c r="D120" s="109" t="s">
        <v>37</v>
      </c>
      <c r="E120" s="542" t="s">
        <v>1091</v>
      </c>
      <c r="F120" s="543">
        <v>38929600</v>
      </c>
      <c r="G120" s="109" t="s">
        <v>4</v>
      </c>
      <c r="H120" s="546">
        <v>42079</v>
      </c>
      <c r="I120" s="109" t="s">
        <v>1005</v>
      </c>
      <c r="J120" s="109" t="s">
        <v>1005</v>
      </c>
      <c r="K120" s="109" t="s">
        <v>69</v>
      </c>
      <c r="L120" s="543">
        <v>38929600</v>
      </c>
      <c r="M120" s="546">
        <v>42054</v>
      </c>
      <c r="N120" s="546">
        <v>42074</v>
      </c>
      <c r="O120" s="545">
        <v>1</v>
      </c>
      <c r="P120" s="1006">
        <v>1</v>
      </c>
      <c r="Q120" s="121" t="s">
        <v>1864</v>
      </c>
    </row>
    <row r="121" spans="1:17" ht="22.5">
      <c r="A121" s="476" t="s">
        <v>1092</v>
      </c>
      <c r="B121" s="477">
        <f>SUM(F122:F125)</f>
        <v>19887967</v>
      </c>
      <c r="C121" s="109"/>
      <c r="D121" s="109"/>
      <c r="E121" s="542"/>
      <c r="F121" s="543"/>
      <c r="G121" s="109"/>
      <c r="H121" s="546"/>
      <c r="I121" s="109"/>
      <c r="J121" s="109"/>
      <c r="K121" s="109"/>
      <c r="L121" s="549"/>
      <c r="M121" s="546"/>
      <c r="N121" s="546"/>
      <c r="O121" s="121"/>
      <c r="P121" s="121"/>
      <c r="Q121" s="121"/>
    </row>
    <row r="122" spans="1:17" ht="50.25" customHeight="1">
      <c r="A122" s="109"/>
      <c r="B122" s="477"/>
      <c r="C122" s="109" t="s">
        <v>694</v>
      </c>
      <c r="D122" s="109" t="s">
        <v>37</v>
      </c>
      <c r="E122" s="542" t="s">
        <v>1093</v>
      </c>
      <c r="F122" s="543">
        <v>2457565</v>
      </c>
      <c r="G122" s="109" t="s">
        <v>5</v>
      </c>
      <c r="H122" s="546">
        <v>42135</v>
      </c>
      <c r="I122" s="109" t="s">
        <v>1005</v>
      </c>
      <c r="J122" s="109" t="s">
        <v>1005</v>
      </c>
      <c r="K122" s="109" t="s">
        <v>89</v>
      </c>
      <c r="L122" s="543" t="s">
        <v>1926</v>
      </c>
      <c r="M122" s="546">
        <v>42080</v>
      </c>
      <c r="N122" s="546">
        <v>42124</v>
      </c>
      <c r="O122" s="545">
        <v>1</v>
      </c>
      <c r="P122" s="1006">
        <v>1</v>
      </c>
      <c r="Q122" s="121" t="s">
        <v>1864</v>
      </c>
    </row>
    <row r="123" spans="1:17" ht="50.25" customHeight="1">
      <c r="A123" s="109"/>
      <c r="B123" s="477"/>
      <c r="C123" s="109" t="s">
        <v>78</v>
      </c>
      <c r="D123" s="109" t="s">
        <v>37</v>
      </c>
      <c r="E123" s="542" t="s">
        <v>1927</v>
      </c>
      <c r="F123" s="543">
        <v>1493450</v>
      </c>
      <c r="G123" s="109" t="s">
        <v>6</v>
      </c>
      <c r="H123" s="546">
        <v>42170</v>
      </c>
      <c r="I123" s="109" t="s">
        <v>1005</v>
      </c>
      <c r="J123" s="109" t="s">
        <v>1005</v>
      </c>
      <c r="K123" s="109" t="s">
        <v>89</v>
      </c>
      <c r="L123" s="543" t="s">
        <v>1928</v>
      </c>
      <c r="M123" s="546">
        <v>42151</v>
      </c>
      <c r="N123" s="546">
        <v>42165</v>
      </c>
      <c r="O123" s="545">
        <v>1</v>
      </c>
      <c r="P123" s="1006">
        <v>1</v>
      </c>
      <c r="Q123" s="121" t="s">
        <v>1864</v>
      </c>
    </row>
    <row r="124" spans="1:17" ht="50.25" customHeight="1">
      <c r="A124" s="109"/>
      <c r="B124" s="477"/>
      <c r="C124" s="109" t="s">
        <v>789</v>
      </c>
      <c r="D124" s="109" t="s">
        <v>37</v>
      </c>
      <c r="E124" s="542" t="s">
        <v>1929</v>
      </c>
      <c r="F124" s="543">
        <v>3160602</v>
      </c>
      <c r="G124" s="109" t="s">
        <v>6</v>
      </c>
      <c r="H124" s="546">
        <v>42170</v>
      </c>
      <c r="I124" s="109" t="s">
        <v>1005</v>
      </c>
      <c r="J124" s="109" t="s">
        <v>1005</v>
      </c>
      <c r="K124" s="109" t="s">
        <v>91</v>
      </c>
      <c r="L124" s="543" t="s">
        <v>1930</v>
      </c>
      <c r="M124" s="546">
        <v>42160</v>
      </c>
      <c r="N124" s="546">
        <v>42179</v>
      </c>
      <c r="O124" s="545">
        <v>1</v>
      </c>
      <c r="P124" s="1006">
        <v>1</v>
      </c>
      <c r="Q124" s="121" t="s">
        <v>1864</v>
      </c>
    </row>
    <row r="125" spans="1:17" ht="63" customHeight="1">
      <c r="A125" s="109"/>
      <c r="B125" s="477"/>
      <c r="C125" s="109" t="s">
        <v>1008</v>
      </c>
      <c r="D125" s="109" t="s">
        <v>37</v>
      </c>
      <c r="E125" s="542" t="s">
        <v>1931</v>
      </c>
      <c r="F125" s="543">
        <f>12888383-112033</f>
        <v>12776350</v>
      </c>
      <c r="G125" s="109" t="s">
        <v>6</v>
      </c>
      <c r="H125" s="546">
        <v>42216</v>
      </c>
      <c r="I125" s="109" t="s">
        <v>1005</v>
      </c>
      <c r="J125" s="109" t="s">
        <v>1005</v>
      </c>
      <c r="K125" s="109" t="s">
        <v>89</v>
      </c>
      <c r="L125" s="543">
        <f>12888383-112033</f>
        <v>12776350</v>
      </c>
      <c r="M125" s="546">
        <v>42174</v>
      </c>
      <c r="N125" s="546">
        <v>42262</v>
      </c>
      <c r="O125" s="545">
        <v>1</v>
      </c>
      <c r="P125" s="1006">
        <v>1</v>
      </c>
      <c r="Q125" s="121" t="s">
        <v>1864</v>
      </c>
    </row>
    <row r="126" spans="1:17" ht="65.25" customHeight="1">
      <c r="A126" s="540" t="s">
        <v>614</v>
      </c>
      <c r="B126" s="541">
        <f>+B127+B129+B142+B146+B160+B166+B180+B184+B189</f>
        <v>1622638280</v>
      </c>
      <c r="C126" s="109"/>
      <c r="D126" s="109"/>
      <c r="E126" s="542"/>
      <c r="F126" s="543"/>
      <c r="G126" s="109"/>
      <c r="H126" s="546"/>
      <c r="I126" s="109"/>
      <c r="J126" s="109"/>
      <c r="K126" s="109"/>
      <c r="L126" s="549"/>
      <c r="M126" s="121"/>
      <c r="N126" s="121"/>
      <c r="O126" s="121"/>
      <c r="P126" s="121"/>
      <c r="Q126" s="121"/>
    </row>
    <row r="127" spans="1:17" ht="33.75">
      <c r="A127" s="476" t="s">
        <v>1094</v>
      </c>
      <c r="B127" s="477">
        <f>SUM(F128:F128)</f>
        <v>51539997</v>
      </c>
      <c r="C127" s="109"/>
      <c r="D127" s="109"/>
      <c r="E127" s="542"/>
      <c r="F127" s="543"/>
      <c r="G127" s="109"/>
      <c r="H127" s="546"/>
      <c r="I127" s="109"/>
      <c r="J127" s="109"/>
      <c r="K127" s="109"/>
      <c r="L127" s="549"/>
      <c r="M127" s="121"/>
      <c r="N127" s="121"/>
      <c r="O127" s="121"/>
      <c r="P127" s="121"/>
      <c r="Q127" s="121"/>
    </row>
    <row r="128" spans="1:17" ht="51" customHeight="1">
      <c r="A128" s="476"/>
      <c r="B128" s="477"/>
      <c r="C128" s="109" t="s">
        <v>1932</v>
      </c>
      <c r="D128" s="109" t="s">
        <v>37</v>
      </c>
      <c r="E128" s="542" t="s">
        <v>1933</v>
      </c>
      <c r="F128" s="543">
        <v>51539997</v>
      </c>
      <c r="G128" s="109" t="s">
        <v>6</v>
      </c>
      <c r="H128" s="546">
        <v>42216</v>
      </c>
      <c r="I128" s="109" t="s">
        <v>1005</v>
      </c>
      <c r="J128" s="109" t="s">
        <v>1005</v>
      </c>
      <c r="K128" s="109" t="s">
        <v>70</v>
      </c>
      <c r="L128" s="543">
        <v>51746160</v>
      </c>
      <c r="M128" s="550">
        <v>42149</v>
      </c>
      <c r="N128" s="1015">
        <v>42213</v>
      </c>
      <c r="O128" s="1006">
        <v>1</v>
      </c>
      <c r="P128" s="1006">
        <v>1</v>
      </c>
      <c r="Q128" s="547" t="s">
        <v>1864</v>
      </c>
    </row>
    <row r="129" spans="1:17" ht="33.75">
      <c r="A129" s="476" t="s">
        <v>1095</v>
      </c>
      <c r="B129" s="543">
        <f>SUM(F130:F141)</f>
        <v>529329043</v>
      </c>
      <c r="C129" s="1016"/>
      <c r="D129" s="477"/>
      <c r="E129" s="542"/>
      <c r="F129" s="543"/>
      <c r="G129" s="109"/>
      <c r="H129" s="546"/>
      <c r="I129" s="109"/>
      <c r="J129" s="109"/>
      <c r="K129" s="109"/>
      <c r="L129" s="549"/>
      <c r="M129" s="121"/>
      <c r="N129" s="121"/>
      <c r="O129" s="121"/>
      <c r="P129" s="121"/>
      <c r="Q129" s="121"/>
    </row>
    <row r="130" spans="1:17" ht="78" customHeight="1">
      <c r="A130" s="109"/>
      <c r="B130" s="477"/>
      <c r="C130" s="109" t="s">
        <v>83</v>
      </c>
      <c r="D130" s="109" t="s">
        <v>37</v>
      </c>
      <c r="E130" s="542" t="s">
        <v>1097</v>
      </c>
      <c r="F130" s="543">
        <v>8325246</v>
      </c>
      <c r="G130" s="109" t="s">
        <v>4</v>
      </c>
      <c r="H130" s="546">
        <v>42079</v>
      </c>
      <c r="I130" s="109" t="s">
        <v>1005</v>
      </c>
      <c r="J130" s="109" t="s">
        <v>1005</v>
      </c>
      <c r="K130" s="109" t="s">
        <v>89</v>
      </c>
      <c r="L130" s="543">
        <v>8036016</v>
      </c>
      <c r="M130" s="546">
        <v>42065</v>
      </c>
      <c r="N130" s="546">
        <v>42079</v>
      </c>
      <c r="O130" s="545">
        <v>1</v>
      </c>
      <c r="P130" s="1006">
        <v>1</v>
      </c>
      <c r="Q130" s="547" t="s">
        <v>1864</v>
      </c>
    </row>
    <row r="131" spans="1:17" ht="66.75" customHeight="1">
      <c r="A131" s="109"/>
      <c r="B131" s="477"/>
      <c r="C131" s="109" t="s">
        <v>83</v>
      </c>
      <c r="D131" s="109" t="s">
        <v>37</v>
      </c>
      <c r="E131" s="542" t="s">
        <v>1096</v>
      </c>
      <c r="F131" s="543">
        <v>29467988</v>
      </c>
      <c r="G131" s="109" t="s">
        <v>5</v>
      </c>
      <c r="H131" s="546">
        <v>42107</v>
      </c>
      <c r="I131" s="109" t="s">
        <v>1005</v>
      </c>
      <c r="J131" s="109" t="s">
        <v>1005</v>
      </c>
      <c r="K131" s="109" t="s">
        <v>70</v>
      </c>
      <c r="L131" s="543">
        <v>29467988</v>
      </c>
      <c r="M131" s="546">
        <v>42107</v>
      </c>
      <c r="N131" s="546">
        <v>42165</v>
      </c>
      <c r="O131" s="545">
        <v>1</v>
      </c>
      <c r="P131" s="1006">
        <v>1</v>
      </c>
      <c r="Q131" s="547" t="s">
        <v>1864</v>
      </c>
    </row>
    <row r="132" spans="1:17" ht="57.75" customHeight="1">
      <c r="A132" s="109"/>
      <c r="B132" s="477"/>
      <c r="C132" s="109" t="s">
        <v>1008</v>
      </c>
      <c r="D132" s="109" t="s">
        <v>37</v>
      </c>
      <c r="E132" s="542" t="s">
        <v>1934</v>
      </c>
      <c r="F132" s="543">
        <v>28463400</v>
      </c>
      <c r="G132" s="109" t="s">
        <v>13</v>
      </c>
      <c r="H132" s="546">
        <v>42216</v>
      </c>
      <c r="I132" s="109" t="s">
        <v>1005</v>
      </c>
      <c r="J132" s="109" t="s">
        <v>1005</v>
      </c>
      <c r="K132" s="109" t="s">
        <v>90</v>
      </c>
      <c r="L132" s="543">
        <v>28463400</v>
      </c>
      <c r="M132" s="546">
        <v>42149</v>
      </c>
      <c r="N132" s="546">
        <v>42255</v>
      </c>
      <c r="O132" s="545">
        <v>1</v>
      </c>
      <c r="P132" s="1006">
        <v>1</v>
      </c>
      <c r="Q132" s="547" t="s">
        <v>1864</v>
      </c>
    </row>
    <row r="133" spans="1:17" ht="57.75" customHeight="1">
      <c r="A133" s="109"/>
      <c r="B133" s="477"/>
      <c r="C133" s="109" t="s">
        <v>78</v>
      </c>
      <c r="D133" s="109" t="s">
        <v>37</v>
      </c>
      <c r="E133" s="542" t="s">
        <v>1935</v>
      </c>
      <c r="F133" s="543">
        <f>51852000+112350</f>
        <v>51964350</v>
      </c>
      <c r="G133" s="109" t="s">
        <v>13</v>
      </c>
      <c r="H133" s="546">
        <v>42216</v>
      </c>
      <c r="I133" s="109" t="s">
        <v>1005</v>
      </c>
      <c r="J133" s="109" t="s">
        <v>1005</v>
      </c>
      <c r="K133" s="109" t="s">
        <v>90</v>
      </c>
      <c r="L133" s="543">
        <f>51852000+112350</f>
        <v>51964350</v>
      </c>
      <c r="M133" s="546">
        <v>42149</v>
      </c>
      <c r="N133" s="546">
        <v>42255</v>
      </c>
      <c r="O133" s="545">
        <v>1</v>
      </c>
      <c r="P133" s="1006">
        <v>1</v>
      </c>
      <c r="Q133" s="547" t="s">
        <v>1864</v>
      </c>
    </row>
    <row r="134" spans="1:17" ht="57.75" customHeight="1">
      <c r="A134" s="109"/>
      <c r="B134" s="477"/>
      <c r="C134" s="109" t="s">
        <v>395</v>
      </c>
      <c r="D134" s="109" t="s">
        <v>37</v>
      </c>
      <c r="E134" s="542" t="s">
        <v>1936</v>
      </c>
      <c r="F134" s="543">
        <v>6224800</v>
      </c>
      <c r="G134" s="109" t="s">
        <v>13</v>
      </c>
      <c r="H134" s="546">
        <v>42216</v>
      </c>
      <c r="I134" s="109" t="s">
        <v>1005</v>
      </c>
      <c r="J134" s="109" t="s">
        <v>1005</v>
      </c>
      <c r="K134" s="109" t="s">
        <v>70</v>
      </c>
      <c r="L134" s="543">
        <v>6224800</v>
      </c>
      <c r="M134" s="546">
        <v>42149</v>
      </c>
      <c r="N134" s="546">
        <v>42213</v>
      </c>
      <c r="O134" s="545">
        <v>1</v>
      </c>
      <c r="P134" s="1006">
        <v>1</v>
      </c>
      <c r="Q134" s="547" t="s">
        <v>1864</v>
      </c>
    </row>
    <row r="135" spans="1:17" ht="57.75" customHeight="1">
      <c r="A135" s="109"/>
      <c r="B135" s="477"/>
      <c r="C135" s="109" t="s">
        <v>80</v>
      </c>
      <c r="D135" s="109" t="s">
        <v>37</v>
      </c>
      <c r="E135" s="542" t="s">
        <v>1937</v>
      </c>
      <c r="F135" s="543">
        <v>104631860</v>
      </c>
      <c r="G135" s="109" t="s">
        <v>13</v>
      </c>
      <c r="H135" s="546">
        <v>42247</v>
      </c>
      <c r="I135" s="109" t="s">
        <v>1005</v>
      </c>
      <c r="J135" s="109" t="s">
        <v>1005</v>
      </c>
      <c r="K135" s="109" t="s">
        <v>90</v>
      </c>
      <c r="L135" s="543">
        <v>104631860</v>
      </c>
      <c r="M135" s="546">
        <v>42149</v>
      </c>
      <c r="N135" s="546">
        <v>42230</v>
      </c>
      <c r="O135" s="545">
        <v>1</v>
      </c>
      <c r="P135" s="1006">
        <v>1</v>
      </c>
      <c r="Q135" s="547" t="s">
        <v>1864</v>
      </c>
    </row>
    <row r="136" spans="1:17" ht="60.75" customHeight="1">
      <c r="A136" s="109"/>
      <c r="B136" s="477"/>
      <c r="C136" s="109" t="s">
        <v>83</v>
      </c>
      <c r="D136" s="109" t="s">
        <v>37</v>
      </c>
      <c r="E136" s="542" t="s">
        <v>1938</v>
      </c>
      <c r="F136" s="543">
        <v>129100344</v>
      </c>
      <c r="G136" s="109" t="s">
        <v>4</v>
      </c>
      <c r="H136" s="546">
        <v>42293</v>
      </c>
      <c r="I136" s="109" t="s">
        <v>1005</v>
      </c>
      <c r="J136" s="109" t="s">
        <v>1005</v>
      </c>
      <c r="K136" s="109" t="s">
        <v>90</v>
      </c>
      <c r="L136" s="543">
        <v>129100344</v>
      </c>
      <c r="M136" s="550">
        <v>42159</v>
      </c>
      <c r="N136" s="1015">
        <v>42293</v>
      </c>
      <c r="O136" s="545">
        <v>1</v>
      </c>
      <c r="P136" s="1006">
        <v>1</v>
      </c>
      <c r="Q136" s="547" t="s">
        <v>1864</v>
      </c>
    </row>
    <row r="137" spans="1:17" ht="60.75" customHeight="1">
      <c r="A137" s="109"/>
      <c r="B137" s="477"/>
      <c r="C137" s="109" t="s">
        <v>83</v>
      </c>
      <c r="D137" s="109" t="s">
        <v>37</v>
      </c>
      <c r="E137" s="542" t="s">
        <v>1939</v>
      </c>
      <c r="F137" s="543">
        <v>64288128</v>
      </c>
      <c r="G137" s="109" t="s">
        <v>36</v>
      </c>
      <c r="H137" s="546">
        <v>42216</v>
      </c>
      <c r="I137" s="109" t="s">
        <v>1005</v>
      </c>
      <c r="J137" s="109" t="s">
        <v>1005</v>
      </c>
      <c r="K137" s="109" t="s">
        <v>70</v>
      </c>
      <c r="L137" s="543">
        <v>64288128</v>
      </c>
      <c r="M137" s="550">
        <v>42174</v>
      </c>
      <c r="N137" s="1015">
        <v>42214</v>
      </c>
      <c r="O137" s="1006">
        <v>1</v>
      </c>
      <c r="P137" s="1006">
        <v>1</v>
      </c>
      <c r="Q137" s="547" t="s">
        <v>1864</v>
      </c>
    </row>
    <row r="138" spans="1:17" ht="45">
      <c r="A138" s="109"/>
      <c r="B138" s="477"/>
      <c r="C138" s="109" t="s">
        <v>83</v>
      </c>
      <c r="D138" s="109" t="s">
        <v>37</v>
      </c>
      <c r="E138" s="542" t="s">
        <v>1940</v>
      </c>
      <c r="F138" s="543">
        <v>14499998</v>
      </c>
      <c r="G138" s="109" t="s">
        <v>89</v>
      </c>
      <c r="H138" s="546">
        <v>42277</v>
      </c>
      <c r="I138" s="109" t="s">
        <v>1005</v>
      </c>
      <c r="J138" s="109" t="s">
        <v>1005</v>
      </c>
      <c r="K138" s="109" t="s">
        <v>90</v>
      </c>
      <c r="L138" s="543">
        <v>14499998</v>
      </c>
      <c r="M138" s="1015">
        <v>42229</v>
      </c>
      <c r="N138" s="1015">
        <v>42262</v>
      </c>
      <c r="O138" s="545">
        <v>1</v>
      </c>
      <c r="P138" s="1006">
        <v>1</v>
      </c>
      <c r="Q138" s="547" t="s">
        <v>1864</v>
      </c>
    </row>
    <row r="139" spans="1:17" ht="92.25" customHeight="1">
      <c r="A139" s="109"/>
      <c r="B139" s="477"/>
      <c r="C139" s="109" t="s">
        <v>83</v>
      </c>
      <c r="D139" s="109" t="s">
        <v>37</v>
      </c>
      <c r="E139" s="542" t="s">
        <v>1941</v>
      </c>
      <c r="F139" s="543">
        <v>8500014</v>
      </c>
      <c r="G139" s="109" t="s">
        <v>89</v>
      </c>
      <c r="H139" s="546">
        <v>42277</v>
      </c>
      <c r="I139" s="109" t="s">
        <v>1005</v>
      </c>
      <c r="J139" s="109" t="s">
        <v>1005</v>
      </c>
      <c r="K139" s="109" t="s">
        <v>90</v>
      </c>
      <c r="L139" s="543">
        <v>8500014</v>
      </c>
      <c r="M139" s="1015">
        <v>42229</v>
      </c>
      <c r="N139" s="1015">
        <v>42276</v>
      </c>
      <c r="O139" s="545">
        <v>1</v>
      </c>
      <c r="P139" s="1006">
        <v>1</v>
      </c>
      <c r="Q139" s="547" t="s">
        <v>1864</v>
      </c>
    </row>
    <row r="140" spans="1:17" ht="78" customHeight="1">
      <c r="A140" s="109"/>
      <c r="B140" s="477"/>
      <c r="C140" s="109" t="s">
        <v>83</v>
      </c>
      <c r="D140" s="109" t="s">
        <v>37</v>
      </c>
      <c r="E140" s="542" t="s">
        <v>1942</v>
      </c>
      <c r="F140" s="543">
        <v>60770915</v>
      </c>
      <c r="G140" s="109" t="s">
        <v>91</v>
      </c>
      <c r="H140" s="546">
        <v>42277</v>
      </c>
      <c r="I140" s="109" t="s">
        <v>1005</v>
      </c>
      <c r="J140" s="109" t="s">
        <v>1005</v>
      </c>
      <c r="K140" s="109" t="s">
        <v>90</v>
      </c>
      <c r="L140" s="543">
        <v>60770915</v>
      </c>
      <c r="M140" s="1015">
        <v>42250</v>
      </c>
      <c r="N140" s="1015">
        <v>42264</v>
      </c>
      <c r="O140" s="545">
        <v>1</v>
      </c>
      <c r="P140" s="1006">
        <v>1</v>
      </c>
      <c r="Q140" s="547" t="s">
        <v>1864</v>
      </c>
    </row>
    <row r="141" spans="1:17" ht="57.75" customHeight="1">
      <c r="A141" s="109"/>
      <c r="B141" s="477"/>
      <c r="C141" s="109" t="s">
        <v>83</v>
      </c>
      <c r="D141" s="109" t="s">
        <v>37</v>
      </c>
      <c r="E141" s="542" t="s">
        <v>1943</v>
      </c>
      <c r="F141" s="543">
        <v>23092000</v>
      </c>
      <c r="G141" s="109" t="s">
        <v>91</v>
      </c>
      <c r="H141" s="546">
        <v>42277</v>
      </c>
      <c r="I141" s="109" t="s">
        <v>1005</v>
      </c>
      <c r="J141" s="109" t="s">
        <v>1005</v>
      </c>
      <c r="K141" s="109" t="s">
        <v>90</v>
      </c>
      <c r="L141" s="543">
        <v>23092000</v>
      </c>
      <c r="M141" s="1015">
        <v>42254</v>
      </c>
      <c r="N141" s="1015">
        <v>42276</v>
      </c>
      <c r="O141" s="545">
        <v>1</v>
      </c>
      <c r="P141" s="1006">
        <v>1</v>
      </c>
      <c r="Q141" s="547" t="s">
        <v>1864</v>
      </c>
    </row>
    <row r="142" spans="1:17" ht="33.75">
      <c r="A142" s="476" t="s">
        <v>1098</v>
      </c>
      <c r="B142" s="477">
        <f>SUM(F143:F145)</f>
        <v>141976742</v>
      </c>
      <c r="C142" s="109"/>
      <c r="D142" s="109"/>
      <c r="E142" s="1017"/>
      <c r="F142" s="543"/>
      <c r="G142" s="109"/>
      <c r="H142" s="546"/>
      <c r="I142" s="109"/>
      <c r="J142" s="109"/>
      <c r="K142" s="109"/>
      <c r="L142" s="549"/>
      <c r="M142" s="121"/>
      <c r="N142" s="121"/>
      <c r="O142" s="121"/>
      <c r="P142" s="121"/>
      <c r="Q142" s="121"/>
    </row>
    <row r="143" spans="1:17" ht="64.5" customHeight="1">
      <c r="A143" s="109"/>
      <c r="B143" s="477"/>
      <c r="C143" s="109" t="s">
        <v>83</v>
      </c>
      <c r="D143" s="109" t="s">
        <v>37</v>
      </c>
      <c r="E143" s="542" t="s">
        <v>1099</v>
      </c>
      <c r="F143" s="543">
        <f>52428016-273258</f>
        <v>52154758</v>
      </c>
      <c r="G143" s="109" t="s">
        <v>5</v>
      </c>
      <c r="H143" s="546">
        <v>42107</v>
      </c>
      <c r="I143" s="109" t="s">
        <v>1005</v>
      </c>
      <c r="J143" s="109" t="s">
        <v>1005</v>
      </c>
      <c r="K143" s="109" t="s">
        <v>91</v>
      </c>
      <c r="L143" s="543">
        <f>52428016-273258</f>
        <v>52154758</v>
      </c>
      <c r="M143" s="546">
        <v>42107</v>
      </c>
      <c r="N143" s="550">
        <v>42165</v>
      </c>
      <c r="O143" s="545">
        <v>1</v>
      </c>
      <c r="P143" s="1006">
        <v>1</v>
      </c>
      <c r="Q143" s="547" t="s">
        <v>1864</v>
      </c>
    </row>
    <row r="144" spans="1:17" ht="45.75" customHeight="1">
      <c r="A144" s="109"/>
      <c r="B144" s="477"/>
      <c r="C144" s="109" t="s">
        <v>83</v>
      </c>
      <c r="D144" s="109" t="s">
        <v>37</v>
      </c>
      <c r="E144" s="542" t="s">
        <v>1944</v>
      </c>
      <c r="F144" s="543">
        <v>40147553</v>
      </c>
      <c r="G144" s="109" t="s">
        <v>6</v>
      </c>
      <c r="H144" s="546">
        <v>42216</v>
      </c>
      <c r="I144" s="109" t="s">
        <v>1005</v>
      </c>
      <c r="J144" s="109" t="s">
        <v>1005</v>
      </c>
      <c r="K144" s="109" t="s">
        <v>70</v>
      </c>
      <c r="L144" s="543">
        <v>47571984</v>
      </c>
      <c r="M144" s="550">
        <v>42149</v>
      </c>
      <c r="N144" s="1015">
        <v>42230</v>
      </c>
      <c r="O144" s="545">
        <v>1</v>
      </c>
      <c r="P144" s="1006">
        <v>1</v>
      </c>
      <c r="Q144" s="547" t="s">
        <v>1864</v>
      </c>
    </row>
    <row r="145" spans="1:17" ht="66.75" customHeight="1">
      <c r="A145" s="109"/>
      <c r="B145" s="477"/>
      <c r="C145" s="109" t="s">
        <v>83</v>
      </c>
      <c r="D145" s="109" t="s">
        <v>37</v>
      </c>
      <c r="E145" s="542" t="s">
        <v>1945</v>
      </c>
      <c r="F145" s="543">
        <v>49674431</v>
      </c>
      <c r="G145" s="109" t="s">
        <v>91</v>
      </c>
      <c r="H145" s="546">
        <v>42216</v>
      </c>
      <c r="I145" s="109" t="s">
        <v>1005</v>
      </c>
      <c r="J145" s="109" t="s">
        <v>1005</v>
      </c>
      <c r="K145" s="109" t="s">
        <v>90</v>
      </c>
      <c r="L145" s="543">
        <v>49674431</v>
      </c>
      <c r="M145" s="1015">
        <v>42250</v>
      </c>
      <c r="N145" s="1015">
        <v>42264</v>
      </c>
      <c r="O145" s="545">
        <v>1</v>
      </c>
      <c r="P145" s="1006">
        <v>1</v>
      </c>
      <c r="Q145" s="547" t="s">
        <v>1864</v>
      </c>
    </row>
    <row r="146" spans="1:17" ht="33.75">
      <c r="A146" s="476" t="s">
        <v>1100</v>
      </c>
      <c r="B146" s="543">
        <f>SUM(F147:F159)</f>
        <v>582727629</v>
      </c>
      <c r="C146" s="1016"/>
      <c r="D146" s="477"/>
      <c r="E146" s="542"/>
      <c r="F146" s="543"/>
      <c r="G146" s="109"/>
      <c r="H146" s="546"/>
      <c r="I146" s="109"/>
      <c r="J146" s="109"/>
      <c r="K146" s="109"/>
      <c r="L146" s="549"/>
      <c r="M146" s="121"/>
      <c r="N146" s="121"/>
      <c r="O146" s="121"/>
      <c r="P146" s="121"/>
      <c r="Q146" s="121"/>
    </row>
    <row r="147" spans="1:17" ht="57" customHeight="1">
      <c r="A147" s="109"/>
      <c r="B147" s="477"/>
      <c r="C147" s="542" t="s">
        <v>1946</v>
      </c>
      <c r="D147" s="109" t="s">
        <v>37</v>
      </c>
      <c r="E147" s="542" t="s">
        <v>1101</v>
      </c>
      <c r="F147" s="543">
        <v>60240188</v>
      </c>
      <c r="G147" s="109" t="s">
        <v>5</v>
      </c>
      <c r="H147" s="546">
        <v>42107</v>
      </c>
      <c r="I147" s="109" t="s">
        <v>1005</v>
      </c>
      <c r="J147" s="109" t="s">
        <v>1005</v>
      </c>
      <c r="K147" s="109" t="s">
        <v>69</v>
      </c>
      <c r="L147" s="543">
        <v>60240188</v>
      </c>
      <c r="M147" s="546">
        <v>42052</v>
      </c>
      <c r="N147" s="546">
        <v>42087</v>
      </c>
      <c r="O147" s="545">
        <v>1</v>
      </c>
      <c r="P147" s="1006">
        <v>1</v>
      </c>
      <c r="Q147" s="547" t="s">
        <v>1864</v>
      </c>
    </row>
    <row r="148" spans="1:17" ht="45">
      <c r="A148" s="109"/>
      <c r="B148" s="477"/>
      <c r="C148" s="542" t="s">
        <v>1947</v>
      </c>
      <c r="D148" s="109" t="s">
        <v>37</v>
      </c>
      <c r="E148" s="542" t="s">
        <v>1102</v>
      </c>
      <c r="F148" s="543">
        <v>60240000</v>
      </c>
      <c r="G148" s="109" t="s">
        <v>4</v>
      </c>
      <c r="H148" s="546">
        <v>42079</v>
      </c>
      <c r="I148" s="109" t="s">
        <v>1005</v>
      </c>
      <c r="J148" s="109" t="s">
        <v>1005</v>
      </c>
      <c r="K148" s="109" t="s">
        <v>36</v>
      </c>
      <c r="L148" s="543">
        <v>60240000</v>
      </c>
      <c r="M148" s="546">
        <v>42066</v>
      </c>
      <c r="N148" s="546">
        <v>42087</v>
      </c>
      <c r="O148" s="545">
        <v>1</v>
      </c>
      <c r="P148" s="1006">
        <v>1</v>
      </c>
      <c r="Q148" s="547" t="s">
        <v>1864</v>
      </c>
    </row>
    <row r="149" spans="1:17" ht="56.25">
      <c r="A149" s="109"/>
      <c r="B149" s="477"/>
      <c r="C149" s="109" t="s">
        <v>1932</v>
      </c>
      <c r="D149" s="109" t="s">
        <v>37</v>
      </c>
      <c r="E149" s="542" t="s">
        <v>1103</v>
      </c>
      <c r="F149" s="543">
        <v>42168000</v>
      </c>
      <c r="G149" s="109" t="s">
        <v>4</v>
      </c>
      <c r="H149" s="546">
        <v>42079</v>
      </c>
      <c r="I149" s="109" t="s">
        <v>1005</v>
      </c>
      <c r="J149" s="109" t="s">
        <v>1005</v>
      </c>
      <c r="K149" s="109" t="s">
        <v>91</v>
      </c>
      <c r="L149" s="543">
        <v>42168000</v>
      </c>
      <c r="M149" s="546">
        <v>42075</v>
      </c>
      <c r="N149" s="546">
        <v>42158</v>
      </c>
      <c r="O149" s="545">
        <v>1</v>
      </c>
      <c r="P149" s="1006">
        <v>1</v>
      </c>
      <c r="Q149" s="547" t="s">
        <v>1864</v>
      </c>
    </row>
    <row r="150" spans="1:17" ht="56.25">
      <c r="A150" s="109"/>
      <c r="B150" s="477"/>
      <c r="C150" s="109" t="s">
        <v>1948</v>
      </c>
      <c r="D150" s="109" t="s">
        <v>37</v>
      </c>
      <c r="E150" s="542" t="s">
        <v>1104</v>
      </c>
      <c r="F150" s="543">
        <v>39156000</v>
      </c>
      <c r="G150" s="109" t="s">
        <v>4</v>
      </c>
      <c r="H150" s="546">
        <v>42079</v>
      </c>
      <c r="I150" s="109" t="s">
        <v>1005</v>
      </c>
      <c r="J150" s="109" t="s">
        <v>1005</v>
      </c>
      <c r="K150" s="109" t="s">
        <v>91</v>
      </c>
      <c r="L150" s="543">
        <v>39156000</v>
      </c>
      <c r="M150" s="546">
        <v>42075</v>
      </c>
      <c r="N150" s="546">
        <v>42158</v>
      </c>
      <c r="O150" s="545">
        <v>1</v>
      </c>
      <c r="P150" s="1006">
        <v>1</v>
      </c>
      <c r="Q150" s="547" t="s">
        <v>1864</v>
      </c>
    </row>
    <row r="151" spans="1:17" ht="67.5">
      <c r="A151" s="109"/>
      <c r="B151" s="477"/>
      <c r="C151" s="109" t="s">
        <v>80</v>
      </c>
      <c r="D151" s="109" t="s">
        <v>37</v>
      </c>
      <c r="E151" s="542" t="s">
        <v>1105</v>
      </c>
      <c r="F151" s="543">
        <v>43172000</v>
      </c>
      <c r="G151" s="109" t="s">
        <v>4</v>
      </c>
      <c r="H151" s="546">
        <v>42079</v>
      </c>
      <c r="I151" s="109" t="s">
        <v>1005</v>
      </c>
      <c r="J151" s="109" t="s">
        <v>1005</v>
      </c>
      <c r="K151" s="109" t="s">
        <v>91</v>
      </c>
      <c r="L151" s="543">
        <v>43172000</v>
      </c>
      <c r="M151" s="546">
        <v>42075</v>
      </c>
      <c r="N151" s="546">
        <v>42158</v>
      </c>
      <c r="O151" s="545">
        <v>1</v>
      </c>
      <c r="P151" s="1006">
        <v>1</v>
      </c>
      <c r="Q151" s="547" t="s">
        <v>1864</v>
      </c>
    </row>
    <row r="152" spans="1:17" ht="70.5" customHeight="1">
      <c r="A152" s="109"/>
      <c r="B152" s="477"/>
      <c r="C152" s="109" t="s">
        <v>761</v>
      </c>
      <c r="D152" s="109" t="s">
        <v>37</v>
      </c>
      <c r="E152" s="542" t="s">
        <v>1106</v>
      </c>
      <c r="F152" s="543">
        <v>43172000</v>
      </c>
      <c r="G152" s="109" t="s">
        <v>5</v>
      </c>
      <c r="H152" s="546">
        <v>42107</v>
      </c>
      <c r="I152" s="109" t="s">
        <v>1005</v>
      </c>
      <c r="J152" s="109" t="s">
        <v>1005</v>
      </c>
      <c r="K152" s="109" t="s">
        <v>91</v>
      </c>
      <c r="L152" s="543">
        <v>43172000</v>
      </c>
      <c r="M152" s="546">
        <v>42075</v>
      </c>
      <c r="N152" s="546">
        <v>42158</v>
      </c>
      <c r="O152" s="545">
        <v>1</v>
      </c>
      <c r="P152" s="1006">
        <v>1</v>
      </c>
      <c r="Q152" s="547" t="s">
        <v>1864</v>
      </c>
    </row>
    <row r="153" spans="1:17" ht="75" customHeight="1">
      <c r="A153" s="109"/>
      <c r="B153" s="477"/>
      <c r="C153" s="109" t="s">
        <v>83</v>
      </c>
      <c r="D153" s="109" t="s">
        <v>37</v>
      </c>
      <c r="E153" s="542" t="s">
        <v>1107</v>
      </c>
      <c r="F153" s="543">
        <v>30594827</v>
      </c>
      <c r="G153" s="109" t="s">
        <v>5</v>
      </c>
      <c r="H153" s="546">
        <v>42107</v>
      </c>
      <c r="I153" s="109" t="s">
        <v>1005</v>
      </c>
      <c r="J153" s="109" t="s">
        <v>1005</v>
      </c>
      <c r="K153" s="109" t="s">
        <v>69</v>
      </c>
      <c r="L153" s="543">
        <v>30594827</v>
      </c>
      <c r="M153" s="546">
        <v>42076</v>
      </c>
      <c r="N153" s="546">
        <v>42108</v>
      </c>
      <c r="O153" s="1006">
        <v>1</v>
      </c>
      <c r="P153" s="1006">
        <v>1</v>
      </c>
      <c r="Q153" s="547" t="s">
        <v>1864</v>
      </c>
    </row>
    <row r="154" spans="1:17" ht="50.25" customHeight="1">
      <c r="A154" s="109"/>
      <c r="B154" s="477"/>
      <c r="C154" s="109" t="s">
        <v>763</v>
      </c>
      <c r="D154" s="109" t="s">
        <v>37</v>
      </c>
      <c r="E154" s="542" t="s">
        <v>1949</v>
      </c>
      <c r="F154" s="543">
        <v>40871115.000000015</v>
      </c>
      <c r="G154" s="109" t="s">
        <v>6</v>
      </c>
      <c r="H154" s="546">
        <v>42216</v>
      </c>
      <c r="I154" s="109" t="s">
        <v>1005</v>
      </c>
      <c r="J154" s="109" t="s">
        <v>1005</v>
      </c>
      <c r="K154" s="109" t="s">
        <v>70</v>
      </c>
      <c r="L154" s="543">
        <v>40871115.000000015</v>
      </c>
      <c r="M154" s="546">
        <v>42160</v>
      </c>
      <c r="N154" s="546">
        <v>42221</v>
      </c>
      <c r="O154" s="545">
        <v>1</v>
      </c>
      <c r="P154" s="1006">
        <v>1</v>
      </c>
      <c r="Q154" s="547" t="s">
        <v>1864</v>
      </c>
    </row>
    <row r="155" spans="1:17" ht="70.5" customHeight="1">
      <c r="A155" s="109"/>
      <c r="B155" s="477"/>
      <c r="C155" s="109" t="s">
        <v>78</v>
      </c>
      <c r="D155" s="109" t="s">
        <v>37</v>
      </c>
      <c r="E155" s="542" t="s">
        <v>1950</v>
      </c>
      <c r="F155" s="543">
        <v>64240000</v>
      </c>
      <c r="G155" s="109" t="s">
        <v>6</v>
      </c>
      <c r="H155" s="546">
        <v>42216</v>
      </c>
      <c r="I155" s="109" t="s">
        <v>1005</v>
      </c>
      <c r="J155" s="109" t="s">
        <v>1005</v>
      </c>
      <c r="K155" s="109" t="s">
        <v>70</v>
      </c>
      <c r="L155" s="543">
        <v>64240000</v>
      </c>
      <c r="M155" s="546">
        <v>42149</v>
      </c>
      <c r="N155" s="546">
        <v>42213</v>
      </c>
      <c r="O155" s="545">
        <v>1</v>
      </c>
      <c r="P155" s="1006">
        <v>1</v>
      </c>
      <c r="Q155" s="547" t="s">
        <v>1864</v>
      </c>
    </row>
    <row r="156" spans="1:17" ht="81.75" customHeight="1">
      <c r="A156" s="109"/>
      <c r="B156" s="477"/>
      <c r="C156" s="109" t="s">
        <v>80</v>
      </c>
      <c r="D156" s="109" t="s">
        <v>37</v>
      </c>
      <c r="E156" s="542" t="s">
        <v>1951</v>
      </c>
      <c r="F156" s="543">
        <v>53583578</v>
      </c>
      <c r="G156" s="109" t="s">
        <v>13</v>
      </c>
      <c r="H156" s="546">
        <v>42216</v>
      </c>
      <c r="I156" s="109" t="s">
        <v>1005</v>
      </c>
      <c r="J156" s="109" t="s">
        <v>1005</v>
      </c>
      <c r="K156" s="109" t="s">
        <v>70</v>
      </c>
      <c r="L156" s="543">
        <v>53583578</v>
      </c>
      <c r="M156" s="546">
        <v>42149</v>
      </c>
      <c r="N156" s="546">
        <v>42277</v>
      </c>
      <c r="O156" s="545">
        <v>1</v>
      </c>
      <c r="P156" s="1006">
        <v>1</v>
      </c>
      <c r="Q156" s="547" t="s">
        <v>1864</v>
      </c>
    </row>
    <row r="157" spans="1:17" ht="81.75" customHeight="1">
      <c r="A157" s="109"/>
      <c r="B157" s="477"/>
      <c r="C157" s="109" t="s">
        <v>83</v>
      </c>
      <c r="D157" s="109" t="s">
        <v>37</v>
      </c>
      <c r="E157" s="542" t="s">
        <v>1952</v>
      </c>
      <c r="F157" s="543">
        <v>15302364</v>
      </c>
      <c r="G157" s="109" t="s">
        <v>36</v>
      </c>
      <c r="H157" s="546">
        <v>42213</v>
      </c>
      <c r="I157" s="109" t="s">
        <v>1005</v>
      </c>
      <c r="J157" s="109" t="s">
        <v>1005</v>
      </c>
      <c r="K157" s="109" t="s">
        <v>79</v>
      </c>
      <c r="L157" s="543">
        <v>15302364</v>
      </c>
      <c r="M157" s="546">
        <v>42160</v>
      </c>
      <c r="N157" s="546">
        <v>42213</v>
      </c>
      <c r="O157" s="1006">
        <v>1</v>
      </c>
      <c r="P157" s="1006">
        <v>1</v>
      </c>
      <c r="Q157" s="547" t="s">
        <v>1864</v>
      </c>
    </row>
    <row r="158" spans="1:17" ht="81.75" customHeight="1">
      <c r="A158" s="109"/>
      <c r="B158" s="477"/>
      <c r="C158" s="109" t="s">
        <v>78</v>
      </c>
      <c r="D158" s="109" t="s">
        <v>37</v>
      </c>
      <c r="E158" s="542" t="s">
        <v>1953</v>
      </c>
      <c r="F158" s="543">
        <v>37304208</v>
      </c>
      <c r="G158" s="109" t="s">
        <v>89</v>
      </c>
      <c r="H158" s="546">
        <v>42255</v>
      </c>
      <c r="I158" s="109" t="s">
        <v>1005</v>
      </c>
      <c r="J158" s="109" t="s">
        <v>1005</v>
      </c>
      <c r="K158" s="109" t="s">
        <v>79</v>
      </c>
      <c r="L158" s="543">
        <v>44259928</v>
      </c>
      <c r="M158" s="546">
        <v>42226</v>
      </c>
      <c r="N158" s="546">
        <v>42255</v>
      </c>
      <c r="O158" s="545">
        <v>1</v>
      </c>
      <c r="P158" s="1006">
        <v>1</v>
      </c>
      <c r="Q158" s="547" t="s">
        <v>1864</v>
      </c>
    </row>
    <row r="159" spans="1:17" ht="81.75" customHeight="1">
      <c r="A159" s="109"/>
      <c r="B159" s="477"/>
      <c r="C159" s="109" t="s">
        <v>80</v>
      </c>
      <c r="D159" s="109" t="s">
        <v>37</v>
      </c>
      <c r="E159" s="542" t="s">
        <v>1954</v>
      </c>
      <c r="F159" s="543">
        <v>52683349</v>
      </c>
      <c r="G159" s="109" t="s">
        <v>79</v>
      </c>
      <c r="H159" s="546">
        <v>42360</v>
      </c>
      <c r="I159" s="109" t="s">
        <v>1005</v>
      </c>
      <c r="J159" s="109" t="s">
        <v>1005</v>
      </c>
      <c r="K159" s="109" t="s">
        <v>79</v>
      </c>
      <c r="L159" s="543">
        <v>52683349</v>
      </c>
      <c r="M159" s="546">
        <v>42354</v>
      </c>
      <c r="N159" s="546">
        <v>42360</v>
      </c>
      <c r="O159" s="1006">
        <v>1</v>
      </c>
      <c r="P159" s="1006">
        <v>1</v>
      </c>
      <c r="Q159" s="547" t="s">
        <v>1864</v>
      </c>
    </row>
    <row r="160" spans="1:17">
      <c r="A160" s="476" t="s">
        <v>1108</v>
      </c>
      <c r="B160" s="477">
        <f>SUM(F161:F165)</f>
        <v>63694200</v>
      </c>
      <c r="C160" s="109"/>
      <c r="D160" s="109"/>
      <c r="E160" s="542"/>
      <c r="F160" s="543"/>
      <c r="G160" s="109"/>
      <c r="H160" s="546"/>
      <c r="I160" s="109"/>
      <c r="J160" s="109"/>
      <c r="K160" s="109"/>
      <c r="L160" s="543"/>
      <c r="M160" s="121"/>
      <c r="N160" s="121"/>
      <c r="O160" s="121"/>
      <c r="P160" s="121"/>
      <c r="Q160" s="121"/>
    </row>
    <row r="161" spans="1:17" ht="54" customHeight="1">
      <c r="A161" s="109"/>
      <c r="B161" s="477"/>
      <c r="C161" s="109" t="s">
        <v>78</v>
      </c>
      <c r="D161" s="109" t="s">
        <v>37</v>
      </c>
      <c r="E161" s="542" t="s">
        <v>1109</v>
      </c>
      <c r="F161" s="543">
        <v>35140000</v>
      </c>
      <c r="G161" s="109" t="s">
        <v>4</v>
      </c>
      <c r="H161" s="546">
        <v>42079</v>
      </c>
      <c r="I161" s="109" t="s">
        <v>1005</v>
      </c>
      <c r="J161" s="109" t="s">
        <v>1005</v>
      </c>
      <c r="K161" s="109" t="s">
        <v>36</v>
      </c>
      <c r="L161" s="543">
        <v>35140000</v>
      </c>
      <c r="M161" s="546">
        <v>42072</v>
      </c>
      <c r="N161" s="546">
        <v>42088</v>
      </c>
      <c r="O161" s="545">
        <v>1</v>
      </c>
      <c r="P161" s="1006">
        <v>1</v>
      </c>
      <c r="Q161" s="547" t="s">
        <v>1864</v>
      </c>
    </row>
    <row r="162" spans="1:17" ht="48.75" customHeight="1">
      <c r="A162" s="109"/>
      <c r="B162" s="477"/>
      <c r="C162" s="109" t="s">
        <v>761</v>
      </c>
      <c r="D162" s="109" t="s">
        <v>37</v>
      </c>
      <c r="E162" s="542" t="s">
        <v>1110</v>
      </c>
      <c r="F162" s="543">
        <v>2510000</v>
      </c>
      <c r="G162" s="109" t="s">
        <v>4</v>
      </c>
      <c r="H162" s="546">
        <v>42216</v>
      </c>
      <c r="I162" s="109" t="s">
        <v>1005</v>
      </c>
      <c r="J162" s="109" t="s">
        <v>1005</v>
      </c>
      <c r="K162" s="109" t="s">
        <v>36</v>
      </c>
      <c r="L162" s="543">
        <v>2510000</v>
      </c>
      <c r="M162" s="546">
        <v>42088</v>
      </c>
      <c r="N162" s="546">
        <v>42262</v>
      </c>
      <c r="O162" s="545">
        <v>1</v>
      </c>
      <c r="P162" s="1006">
        <v>1</v>
      </c>
      <c r="Q162" s="547" t="s">
        <v>1864</v>
      </c>
    </row>
    <row r="163" spans="1:17" ht="45">
      <c r="A163" s="109"/>
      <c r="B163" s="477"/>
      <c r="C163" s="109" t="s">
        <v>694</v>
      </c>
      <c r="D163" s="109" t="s">
        <v>37</v>
      </c>
      <c r="E163" s="542" t="s">
        <v>1111</v>
      </c>
      <c r="F163" s="543">
        <v>14040000</v>
      </c>
      <c r="G163" s="109" t="s">
        <v>69</v>
      </c>
      <c r="H163" s="546">
        <v>42216</v>
      </c>
      <c r="I163" s="109" t="s">
        <v>1005</v>
      </c>
      <c r="J163" s="109" t="s">
        <v>1005</v>
      </c>
      <c r="K163" s="109" t="s">
        <v>70</v>
      </c>
      <c r="L163" s="543">
        <v>12840000</v>
      </c>
      <c r="M163" s="546">
        <v>42229</v>
      </c>
      <c r="N163" s="546">
        <v>42277</v>
      </c>
      <c r="O163" s="545">
        <v>1</v>
      </c>
      <c r="P163" s="1006">
        <v>1</v>
      </c>
      <c r="Q163" s="547" t="s">
        <v>1864</v>
      </c>
    </row>
    <row r="164" spans="1:17" ht="45">
      <c r="A164" s="109"/>
      <c r="B164" s="477"/>
      <c r="C164" s="109" t="s">
        <v>80</v>
      </c>
      <c r="D164" s="109" t="s">
        <v>37</v>
      </c>
      <c r="E164" s="542" t="s">
        <v>1112</v>
      </c>
      <c r="F164" s="543">
        <v>5800000</v>
      </c>
      <c r="G164" s="109" t="s">
        <v>69</v>
      </c>
      <c r="H164" s="546">
        <v>42216</v>
      </c>
      <c r="I164" s="109" t="s">
        <v>1005</v>
      </c>
      <c r="J164" s="109" t="s">
        <v>1005</v>
      </c>
      <c r="K164" s="109" t="s">
        <v>70</v>
      </c>
      <c r="L164" s="543">
        <v>5000000</v>
      </c>
      <c r="M164" s="546">
        <v>42229</v>
      </c>
      <c r="N164" s="546">
        <v>42321</v>
      </c>
      <c r="O164" s="545">
        <v>1</v>
      </c>
      <c r="P164" s="1006">
        <v>1</v>
      </c>
      <c r="Q164" s="547" t="s">
        <v>1864</v>
      </c>
    </row>
    <row r="165" spans="1:17" ht="33.75">
      <c r="A165" s="109"/>
      <c r="B165" s="477"/>
      <c r="C165" s="109" t="s">
        <v>761</v>
      </c>
      <c r="D165" s="109" t="s">
        <v>37</v>
      </c>
      <c r="E165" s="542" t="s">
        <v>1955</v>
      </c>
      <c r="F165" s="543">
        <v>6204200</v>
      </c>
      <c r="G165" s="109" t="s">
        <v>79</v>
      </c>
      <c r="H165" s="546">
        <v>42360</v>
      </c>
      <c r="I165" s="109" t="s">
        <v>1005</v>
      </c>
      <c r="J165" s="109" t="s">
        <v>1005</v>
      </c>
      <c r="K165" s="109" t="s">
        <v>79</v>
      </c>
      <c r="L165" s="543">
        <v>6204200</v>
      </c>
      <c r="M165" s="546">
        <v>42354</v>
      </c>
      <c r="N165" s="546">
        <v>42360</v>
      </c>
      <c r="O165" s="1006">
        <v>1</v>
      </c>
      <c r="P165" s="1006">
        <v>1</v>
      </c>
      <c r="Q165" s="547" t="s">
        <v>1864</v>
      </c>
    </row>
    <row r="166" spans="1:17">
      <c r="A166" s="476" t="s">
        <v>1113</v>
      </c>
      <c r="B166" s="477">
        <f>SUM(F167:F179)</f>
        <v>91579520</v>
      </c>
      <c r="C166" s="109"/>
      <c r="D166" s="109"/>
      <c r="E166" s="542"/>
      <c r="F166" s="543"/>
      <c r="G166" s="109"/>
      <c r="H166" s="546"/>
      <c r="I166" s="109"/>
      <c r="J166" s="109"/>
      <c r="K166" s="109"/>
      <c r="L166" s="543"/>
      <c r="M166" s="121"/>
      <c r="N166" s="121"/>
      <c r="O166" s="121"/>
      <c r="P166" s="121"/>
      <c r="Q166" s="121"/>
    </row>
    <row r="167" spans="1:17" ht="59.25" customHeight="1">
      <c r="A167" s="109"/>
      <c r="B167" s="477"/>
      <c r="C167" s="109" t="s">
        <v>83</v>
      </c>
      <c r="D167" s="109" t="s">
        <v>37</v>
      </c>
      <c r="E167" s="542" t="s">
        <v>1114</v>
      </c>
      <c r="F167" s="543">
        <v>14056000</v>
      </c>
      <c r="G167" s="109" t="s">
        <v>4</v>
      </c>
      <c r="H167" s="546">
        <v>42079</v>
      </c>
      <c r="I167" s="109" t="s">
        <v>1005</v>
      </c>
      <c r="J167" s="109" t="s">
        <v>1005</v>
      </c>
      <c r="K167" s="109" t="s">
        <v>79</v>
      </c>
      <c r="L167" s="543">
        <v>14056000</v>
      </c>
      <c r="M167" s="546">
        <v>42047</v>
      </c>
      <c r="N167" s="546">
        <v>42079</v>
      </c>
      <c r="O167" s="545">
        <v>1</v>
      </c>
      <c r="P167" s="1006">
        <v>1</v>
      </c>
      <c r="Q167" s="547" t="s">
        <v>1864</v>
      </c>
    </row>
    <row r="168" spans="1:17" ht="64.5" customHeight="1">
      <c r="A168" s="109"/>
      <c r="B168" s="477"/>
      <c r="C168" s="109" t="s">
        <v>83</v>
      </c>
      <c r="D168" s="109" t="s">
        <v>37</v>
      </c>
      <c r="E168" s="542" t="s">
        <v>1115</v>
      </c>
      <c r="F168" s="543">
        <v>8032000</v>
      </c>
      <c r="G168" s="109" t="s">
        <v>4</v>
      </c>
      <c r="H168" s="546">
        <v>42079</v>
      </c>
      <c r="I168" s="109" t="s">
        <v>1005</v>
      </c>
      <c r="J168" s="109" t="s">
        <v>1005</v>
      </c>
      <c r="K168" s="109" t="s">
        <v>79</v>
      </c>
      <c r="L168" s="543">
        <v>8032000</v>
      </c>
      <c r="M168" s="546">
        <v>42047</v>
      </c>
      <c r="N168" s="546">
        <v>42074</v>
      </c>
      <c r="O168" s="545">
        <v>1</v>
      </c>
      <c r="P168" s="1006">
        <v>1</v>
      </c>
      <c r="Q168" s="547" t="s">
        <v>1864</v>
      </c>
    </row>
    <row r="169" spans="1:17" ht="63.75" customHeight="1">
      <c r="A169" s="109"/>
      <c r="B169" s="477"/>
      <c r="C169" s="109" t="s">
        <v>83</v>
      </c>
      <c r="D169" s="109" t="s">
        <v>37</v>
      </c>
      <c r="E169" s="542" t="s">
        <v>1116</v>
      </c>
      <c r="F169" s="543">
        <v>7028000</v>
      </c>
      <c r="G169" s="109" t="s">
        <v>4</v>
      </c>
      <c r="H169" s="546">
        <v>42079</v>
      </c>
      <c r="I169" s="109" t="s">
        <v>1005</v>
      </c>
      <c r="J169" s="109" t="s">
        <v>1005</v>
      </c>
      <c r="K169" s="109" t="s">
        <v>79</v>
      </c>
      <c r="L169" s="543">
        <v>7028000</v>
      </c>
      <c r="M169" s="546">
        <v>42047</v>
      </c>
      <c r="N169" s="546">
        <v>42074</v>
      </c>
      <c r="O169" s="545">
        <v>1</v>
      </c>
      <c r="P169" s="1006">
        <v>1</v>
      </c>
      <c r="Q169" s="547" t="s">
        <v>1864</v>
      </c>
    </row>
    <row r="170" spans="1:17" ht="60.75" customHeight="1">
      <c r="A170" s="109"/>
      <c r="B170" s="477"/>
      <c r="C170" s="109" t="s">
        <v>83</v>
      </c>
      <c r="D170" s="109" t="s">
        <v>37</v>
      </c>
      <c r="E170" s="542" t="s">
        <v>1117</v>
      </c>
      <c r="F170" s="543">
        <v>6024000</v>
      </c>
      <c r="G170" s="109" t="s">
        <v>4</v>
      </c>
      <c r="H170" s="546">
        <v>42079</v>
      </c>
      <c r="I170" s="109" t="s">
        <v>1005</v>
      </c>
      <c r="J170" s="109" t="s">
        <v>1005</v>
      </c>
      <c r="K170" s="109" t="s">
        <v>79</v>
      </c>
      <c r="L170" s="543">
        <v>6024000</v>
      </c>
      <c r="M170" s="546">
        <v>42047</v>
      </c>
      <c r="N170" s="546">
        <v>42087</v>
      </c>
      <c r="O170" s="545">
        <v>1</v>
      </c>
      <c r="P170" s="1006">
        <v>1</v>
      </c>
      <c r="Q170" s="547" t="s">
        <v>1864</v>
      </c>
    </row>
    <row r="171" spans="1:17" ht="49.5" customHeight="1">
      <c r="A171" s="109"/>
      <c r="B171" s="477"/>
      <c r="C171" s="109" t="s">
        <v>83</v>
      </c>
      <c r="D171" s="109" t="s">
        <v>37</v>
      </c>
      <c r="E171" s="542" t="s">
        <v>1118</v>
      </c>
      <c r="F171" s="543">
        <v>8032000</v>
      </c>
      <c r="G171" s="109" t="s">
        <v>4</v>
      </c>
      <c r="H171" s="546">
        <v>42079</v>
      </c>
      <c r="I171" s="109" t="s">
        <v>1005</v>
      </c>
      <c r="J171" s="109" t="s">
        <v>1005</v>
      </c>
      <c r="K171" s="109" t="s">
        <v>79</v>
      </c>
      <c r="L171" s="543">
        <v>8032000</v>
      </c>
      <c r="M171" s="546">
        <v>42047</v>
      </c>
      <c r="N171" s="546">
        <v>42079</v>
      </c>
      <c r="O171" s="545">
        <v>1</v>
      </c>
      <c r="P171" s="1006">
        <v>1</v>
      </c>
      <c r="Q171" s="547" t="s">
        <v>1864</v>
      </c>
    </row>
    <row r="172" spans="1:17" ht="75" customHeight="1">
      <c r="A172" s="109"/>
      <c r="B172" s="477"/>
      <c r="C172" s="109" t="s">
        <v>83</v>
      </c>
      <c r="D172" s="109" t="s">
        <v>37</v>
      </c>
      <c r="E172" s="542" t="s">
        <v>1119</v>
      </c>
      <c r="F172" s="543">
        <v>12048000</v>
      </c>
      <c r="G172" s="109" t="s">
        <v>4</v>
      </c>
      <c r="H172" s="546">
        <v>42079</v>
      </c>
      <c r="I172" s="109" t="s">
        <v>1005</v>
      </c>
      <c r="J172" s="109" t="s">
        <v>1005</v>
      </c>
      <c r="K172" s="109" t="s">
        <v>79</v>
      </c>
      <c r="L172" s="543">
        <v>12048000</v>
      </c>
      <c r="M172" s="546">
        <v>42048</v>
      </c>
      <c r="N172" s="546">
        <v>42074</v>
      </c>
      <c r="O172" s="545">
        <v>1</v>
      </c>
      <c r="P172" s="1006">
        <v>1</v>
      </c>
      <c r="Q172" s="547" t="s">
        <v>1864</v>
      </c>
    </row>
    <row r="173" spans="1:17" ht="75" customHeight="1">
      <c r="A173" s="109"/>
      <c r="B173" s="477"/>
      <c r="C173" s="109" t="s">
        <v>83</v>
      </c>
      <c r="D173" s="109" t="s">
        <v>37</v>
      </c>
      <c r="E173" s="542" t="s">
        <v>1120</v>
      </c>
      <c r="F173" s="543">
        <v>10040000</v>
      </c>
      <c r="G173" s="109" t="s">
        <v>4</v>
      </c>
      <c r="H173" s="546">
        <v>42079</v>
      </c>
      <c r="I173" s="109" t="s">
        <v>1005</v>
      </c>
      <c r="J173" s="109" t="s">
        <v>1005</v>
      </c>
      <c r="K173" s="109" t="s">
        <v>79</v>
      </c>
      <c r="L173" s="543">
        <v>10040000</v>
      </c>
      <c r="M173" s="546">
        <v>42048</v>
      </c>
      <c r="N173" s="546">
        <v>42074</v>
      </c>
      <c r="O173" s="545">
        <v>1</v>
      </c>
      <c r="P173" s="1006">
        <v>1</v>
      </c>
      <c r="Q173" s="547" t="s">
        <v>1864</v>
      </c>
    </row>
    <row r="174" spans="1:17" ht="59.25" customHeight="1">
      <c r="A174" s="109"/>
      <c r="B174" s="477"/>
      <c r="C174" s="109" t="s">
        <v>83</v>
      </c>
      <c r="D174" s="109" t="s">
        <v>37</v>
      </c>
      <c r="E174" s="542" t="s">
        <v>1121</v>
      </c>
      <c r="F174" s="543">
        <v>5020000</v>
      </c>
      <c r="G174" s="109" t="s">
        <v>4</v>
      </c>
      <c r="H174" s="546">
        <v>42079</v>
      </c>
      <c r="I174" s="109" t="s">
        <v>1005</v>
      </c>
      <c r="J174" s="109" t="s">
        <v>1005</v>
      </c>
      <c r="K174" s="109" t="s">
        <v>79</v>
      </c>
      <c r="L174" s="543">
        <v>5020000</v>
      </c>
      <c r="M174" s="546">
        <v>42048</v>
      </c>
      <c r="N174" s="546">
        <v>42074</v>
      </c>
      <c r="O174" s="545">
        <v>1</v>
      </c>
      <c r="P174" s="1006">
        <v>1</v>
      </c>
      <c r="Q174" s="547" t="s">
        <v>1864</v>
      </c>
    </row>
    <row r="175" spans="1:17" ht="67.5">
      <c r="A175" s="109"/>
      <c r="B175" s="477"/>
      <c r="C175" s="109" t="s">
        <v>83</v>
      </c>
      <c r="D175" s="109" t="s">
        <v>37</v>
      </c>
      <c r="E175" s="542" t="s">
        <v>1122</v>
      </c>
      <c r="F175" s="543">
        <v>5020000</v>
      </c>
      <c r="G175" s="109" t="s">
        <v>4</v>
      </c>
      <c r="H175" s="546">
        <v>42079</v>
      </c>
      <c r="I175" s="109" t="s">
        <v>1005</v>
      </c>
      <c r="J175" s="109" t="s">
        <v>1005</v>
      </c>
      <c r="K175" s="109" t="s">
        <v>79</v>
      </c>
      <c r="L175" s="543">
        <v>5020000</v>
      </c>
      <c r="M175" s="546">
        <v>42053</v>
      </c>
      <c r="N175" s="546">
        <v>42074</v>
      </c>
      <c r="O175" s="545">
        <v>1</v>
      </c>
      <c r="P175" s="1006">
        <v>1</v>
      </c>
      <c r="Q175" s="547" t="s">
        <v>1864</v>
      </c>
    </row>
    <row r="176" spans="1:17" ht="55.5" customHeight="1">
      <c r="A176" s="109"/>
      <c r="B176" s="477"/>
      <c r="C176" s="109" t="s">
        <v>83</v>
      </c>
      <c r="D176" s="109" t="s">
        <v>37</v>
      </c>
      <c r="E176" s="542" t="s">
        <v>1123</v>
      </c>
      <c r="F176" s="543">
        <v>3012000</v>
      </c>
      <c r="G176" s="109" t="s">
        <v>4</v>
      </c>
      <c r="H176" s="546">
        <v>42079</v>
      </c>
      <c r="I176" s="109" t="s">
        <v>1005</v>
      </c>
      <c r="J176" s="109" t="s">
        <v>1005</v>
      </c>
      <c r="K176" s="109" t="s">
        <v>79</v>
      </c>
      <c r="L176" s="543">
        <v>3012000</v>
      </c>
      <c r="M176" s="546">
        <v>42053</v>
      </c>
      <c r="N176" s="546">
        <v>42079</v>
      </c>
      <c r="O176" s="545">
        <v>1</v>
      </c>
      <c r="P176" s="1006">
        <v>1</v>
      </c>
      <c r="Q176" s="547" t="s">
        <v>1864</v>
      </c>
    </row>
    <row r="177" spans="1:17" ht="69.75" customHeight="1">
      <c r="A177" s="109"/>
      <c r="B177" s="477"/>
      <c r="C177" s="109" t="s">
        <v>83</v>
      </c>
      <c r="D177" s="109" t="s">
        <v>37</v>
      </c>
      <c r="E177" s="542" t="s">
        <v>1124</v>
      </c>
      <c r="F177" s="543">
        <v>8192640</v>
      </c>
      <c r="G177" s="109" t="s">
        <v>4</v>
      </c>
      <c r="H177" s="546">
        <v>42079</v>
      </c>
      <c r="I177" s="109" t="s">
        <v>1005</v>
      </c>
      <c r="J177" s="109" t="s">
        <v>1005</v>
      </c>
      <c r="K177" s="109" t="s">
        <v>79</v>
      </c>
      <c r="L177" s="543">
        <v>8178102</v>
      </c>
      <c r="M177" s="546">
        <v>42068</v>
      </c>
      <c r="N177" s="546">
        <v>42104</v>
      </c>
      <c r="O177" s="545">
        <v>1</v>
      </c>
      <c r="P177" s="1006">
        <v>1</v>
      </c>
      <c r="Q177" s="547" t="s">
        <v>1864</v>
      </c>
    </row>
    <row r="178" spans="1:17" ht="75" customHeight="1">
      <c r="A178" s="109"/>
      <c r="B178" s="477"/>
      <c r="C178" s="109" t="s">
        <v>83</v>
      </c>
      <c r="D178" s="109" t="s">
        <v>37</v>
      </c>
      <c r="E178" s="542" t="s">
        <v>1125</v>
      </c>
      <c r="F178" s="543">
        <f>3490707+4653</f>
        <v>3495360</v>
      </c>
      <c r="G178" s="109" t="s">
        <v>4</v>
      </c>
      <c r="H178" s="546">
        <v>42079</v>
      </c>
      <c r="I178" s="109" t="s">
        <v>1005</v>
      </c>
      <c r="J178" s="109" t="s">
        <v>1005</v>
      </c>
      <c r="K178" s="109" t="s">
        <v>79</v>
      </c>
      <c r="L178" s="543">
        <v>3447736</v>
      </c>
      <c r="M178" s="546">
        <v>42068</v>
      </c>
      <c r="N178" s="546">
        <v>42104</v>
      </c>
      <c r="O178" s="545">
        <v>1</v>
      </c>
      <c r="P178" s="1006">
        <v>1</v>
      </c>
      <c r="Q178" s="547" t="s">
        <v>1864</v>
      </c>
    </row>
    <row r="179" spans="1:17" ht="75" customHeight="1">
      <c r="A179" s="109"/>
      <c r="B179" s="477"/>
      <c r="C179" s="109" t="s">
        <v>83</v>
      </c>
      <c r="D179" s="109" t="s">
        <v>37</v>
      </c>
      <c r="E179" s="542" t="s">
        <v>1956</v>
      </c>
      <c r="F179" s="543">
        <v>1579520</v>
      </c>
      <c r="G179" s="109" t="s">
        <v>79</v>
      </c>
      <c r="H179" s="546">
        <v>42355</v>
      </c>
      <c r="I179" s="109" t="s">
        <v>1005</v>
      </c>
      <c r="J179" s="109" t="s">
        <v>1005</v>
      </c>
      <c r="K179" s="109" t="s">
        <v>79</v>
      </c>
      <c r="L179" s="543">
        <v>1579520</v>
      </c>
      <c r="M179" s="546">
        <v>42349</v>
      </c>
      <c r="N179" s="546">
        <v>42355</v>
      </c>
      <c r="O179" s="545">
        <v>1</v>
      </c>
      <c r="P179" s="1006">
        <v>1</v>
      </c>
      <c r="Q179" s="547" t="s">
        <v>1864</v>
      </c>
    </row>
    <row r="180" spans="1:17" ht="67.5">
      <c r="A180" s="476" t="s">
        <v>1126</v>
      </c>
      <c r="B180" s="477">
        <f>SUM(F181:F183)</f>
        <v>23900000</v>
      </c>
      <c r="C180" s="109"/>
      <c r="D180" s="109"/>
      <c r="E180" s="542"/>
      <c r="F180" s="543"/>
      <c r="G180" s="109"/>
      <c r="H180" s="546"/>
      <c r="I180" s="109"/>
      <c r="J180" s="109"/>
      <c r="K180" s="109"/>
      <c r="L180" s="549"/>
      <c r="M180" s="121"/>
      <c r="N180" s="121"/>
      <c r="O180" s="121"/>
      <c r="P180" s="121"/>
      <c r="Q180" s="121"/>
    </row>
    <row r="181" spans="1:17" ht="33.75">
      <c r="A181" s="109"/>
      <c r="B181" s="477"/>
      <c r="C181" s="109" t="s">
        <v>83</v>
      </c>
      <c r="D181" s="109" t="s">
        <v>37</v>
      </c>
      <c r="E181" s="542" t="s">
        <v>1127</v>
      </c>
      <c r="F181" s="543">
        <v>14959600</v>
      </c>
      <c r="G181" s="109" t="s">
        <v>4</v>
      </c>
      <c r="H181" s="546">
        <v>42079</v>
      </c>
      <c r="I181" s="109" t="s">
        <v>1005</v>
      </c>
      <c r="J181" s="109" t="s">
        <v>1005</v>
      </c>
      <c r="K181" s="109" t="s">
        <v>79</v>
      </c>
      <c r="L181" s="549">
        <v>14959600</v>
      </c>
      <c r="M181" s="546">
        <v>42044</v>
      </c>
      <c r="N181" s="546">
        <v>42069</v>
      </c>
      <c r="O181" s="545">
        <v>1</v>
      </c>
      <c r="P181" s="1006">
        <v>1</v>
      </c>
      <c r="Q181" s="547" t="s">
        <v>1864</v>
      </c>
    </row>
    <row r="182" spans="1:17" ht="33.75">
      <c r="A182" s="109"/>
      <c r="B182" s="477"/>
      <c r="C182" s="109" t="s">
        <v>83</v>
      </c>
      <c r="D182" s="109" t="s">
        <v>37</v>
      </c>
      <c r="E182" s="542" t="s">
        <v>1128</v>
      </c>
      <c r="F182" s="543">
        <v>7040400</v>
      </c>
      <c r="G182" s="109" t="s">
        <v>4</v>
      </c>
      <c r="H182" s="546">
        <v>42079</v>
      </c>
      <c r="I182" s="109" t="s">
        <v>1005</v>
      </c>
      <c r="J182" s="109" t="s">
        <v>1005</v>
      </c>
      <c r="K182" s="109" t="s">
        <v>79</v>
      </c>
      <c r="L182" s="549">
        <v>7028000</v>
      </c>
      <c r="M182" s="546">
        <v>42019</v>
      </c>
      <c r="N182" s="546">
        <v>42069</v>
      </c>
      <c r="O182" s="545">
        <v>1</v>
      </c>
      <c r="P182" s="1006">
        <v>1</v>
      </c>
      <c r="Q182" s="547" t="s">
        <v>1864</v>
      </c>
    </row>
    <row r="183" spans="1:17" ht="22.5">
      <c r="A183" s="109"/>
      <c r="B183" s="477"/>
      <c r="C183" s="109" t="s">
        <v>83</v>
      </c>
      <c r="D183" s="109" t="s">
        <v>37</v>
      </c>
      <c r="E183" s="542" t="s">
        <v>1957</v>
      </c>
      <c r="F183" s="543">
        <v>1900000</v>
      </c>
      <c r="G183" s="109" t="s">
        <v>70</v>
      </c>
      <c r="H183" s="546">
        <v>42292</v>
      </c>
      <c r="I183" s="109" t="s">
        <v>1005</v>
      </c>
      <c r="J183" s="109" t="s">
        <v>1005</v>
      </c>
      <c r="K183" s="109" t="s">
        <v>70</v>
      </c>
      <c r="L183" s="543">
        <v>1900000</v>
      </c>
      <c r="M183" s="546">
        <v>42286</v>
      </c>
      <c r="N183" s="546">
        <v>42292</v>
      </c>
      <c r="O183" s="1006">
        <v>1</v>
      </c>
      <c r="P183" s="1006">
        <v>1</v>
      </c>
      <c r="Q183" s="547" t="s">
        <v>1864</v>
      </c>
    </row>
    <row r="184" spans="1:17" ht="61.5" customHeight="1">
      <c r="A184" s="542" t="s">
        <v>153</v>
      </c>
      <c r="B184" s="477">
        <f>SUM(F185:F187)</f>
        <v>120989949</v>
      </c>
      <c r="C184" s="109"/>
      <c r="D184" s="109"/>
      <c r="E184" s="542"/>
      <c r="F184" s="543"/>
      <c r="G184" s="109"/>
      <c r="H184" s="546"/>
      <c r="I184" s="109"/>
      <c r="J184" s="109"/>
      <c r="K184" s="109"/>
      <c r="L184" s="549"/>
      <c r="M184" s="121"/>
      <c r="N184" s="121"/>
      <c r="O184" s="121"/>
      <c r="P184" s="121"/>
      <c r="Q184" s="121"/>
    </row>
    <row r="185" spans="1:17" ht="45">
      <c r="A185" s="109"/>
      <c r="B185" s="477"/>
      <c r="C185" s="109" t="s">
        <v>83</v>
      </c>
      <c r="D185" s="1007" t="s">
        <v>37</v>
      </c>
      <c r="E185" s="542" t="s">
        <v>1129</v>
      </c>
      <c r="F185" s="543">
        <v>54417456</v>
      </c>
      <c r="G185" s="109" t="s">
        <v>5</v>
      </c>
      <c r="H185" s="546">
        <v>42065</v>
      </c>
      <c r="I185" s="109" t="s">
        <v>1005</v>
      </c>
      <c r="J185" s="109" t="s">
        <v>1005</v>
      </c>
      <c r="K185" s="109" t="s">
        <v>5</v>
      </c>
      <c r="L185" s="543">
        <v>54417456</v>
      </c>
      <c r="M185" s="546">
        <v>42072</v>
      </c>
      <c r="N185" s="546">
        <v>42087</v>
      </c>
      <c r="O185" s="1006">
        <v>1</v>
      </c>
      <c r="P185" s="1006">
        <v>1</v>
      </c>
      <c r="Q185" s="547" t="s">
        <v>1864</v>
      </c>
    </row>
    <row r="186" spans="1:17" ht="56.25">
      <c r="A186" s="109"/>
      <c r="B186" s="477"/>
      <c r="C186" s="109" t="s">
        <v>763</v>
      </c>
      <c r="D186" s="1007" t="s">
        <v>37</v>
      </c>
      <c r="E186" s="542" t="s">
        <v>1130</v>
      </c>
      <c r="F186" s="543">
        <v>37120000</v>
      </c>
      <c r="G186" s="109" t="s">
        <v>13</v>
      </c>
      <c r="H186" s="546">
        <v>42153</v>
      </c>
      <c r="I186" s="109" t="s">
        <v>1005</v>
      </c>
      <c r="J186" s="109" t="s">
        <v>1005</v>
      </c>
      <c r="K186" s="109" t="s">
        <v>70</v>
      </c>
      <c r="L186" s="543">
        <v>37120000</v>
      </c>
      <c r="M186" s="546">
        <v>42073</v>
      </c>
      <c r="N186" s="546">
        <v>42178</v>
      </c>
      <c r="O186" s="1006">
        <v>1</v>
      </c>
      <c r="P186" s="1006">
        <v>0</v>
      </c>
      <c r="Q186" s="547" t="s">
        <v>1958</v>
      </c>
    </row>
    <row r="187" spans="1:17" ht="33.75">
      <c r="A187" s="109"/>
      <c r="B187" s="477"/>
      <c r="C187" s="109" t="s">
        <v>80</v>
      </c>
      <c r="D187" s="1007" t="s">
        <v>37</v>
      </c>
      <c r="E187" s="542" t="s">
        <v>1959</v>
      </c>
      <c r="F187" s="543">
        <v>29452493</v>
      </c>
      <c r="G187" s="109" t="s">
        <v>90</v>
      </c>
      <c r="H187" s="546">
        <v>42319</v>
      </c>
      <c r="I187" s="109" t="s">
        <v>1005</v>
      </c>
      <c r="J187" s="109" t="s">
        <v>1005</v>
      </c>
      <c r="K187" s="109" t="s">
        <v>90</v>
      </c>
      <c r="L187" s="543">
        <v>29452493</v>
      </c>
      <c r="M187" s="546">
        <v>42310</v>
      </c>
      <c r="N187" s="546">
        <v>42319</v>
      </c>
      <c r="O187" s="1006">
        <v>1</v>
      </c>
      <c r="P187" s="1006">
        <v>1</v>
      </c>
      <c r="Q187" s="547" t="s">
        <v>1864</v>
      </c>
    </row>
    <row r="188" spans="1:17">
      <c r="A188" s="109"/>
      <c r="B188" s="477"/>
      <c r="C188" s="109"/>
      <c r="D188" s="109"/>
      <c r="E188" s="542"/>
      <c r="F188" s="543"/>
      <c r="G188" s="109"/>
      <c r="H188" s="546"/>
      <c r="I188" s="109"/>
      <c r="J188" s="109"/>
      <c r="K188" s="109"/>
      <c r="L188" s="549"/>
      <c r="M188" s="121"/>
      <c r="N188" s="121"/>
      <c r="O188" s="121"/>
      <c r="P188" s="121"/>
      <c r="Q188" s="121"/>
    </row>
    <row r="189" spans="1:17" s="1011" customFormat="1" ht="33.75">
      <c r="A189" s="1018" t="s">
        <v>1131</v>
      </c>
      <c r="B189" s="543">
        <f>+F190</f>
        <v>16901200</v>
      </c>
      <c r="C189" s="1007"/>
      <c r="D189" s="1007"/>
      <c r="E189" s="1009"/>
      <c r="F189" s="543"/>
      <c r="G189" s="1007"/>
      <c r="H189" s="1010"/>
      <c r="I189" s="1007"/>
      <c r="J189" s="1007"/>
      <c r="K189" s="1007"/>
      <c r="L189" s="1008"/>
      <c r="M189" s="1019"/>
      <c r="N189" s="1019"/>
      <c r="O189" s="1019"/>
      <c r="P189" s="1019"/>
      <c r="Q189" s="1019"/>
    </row>
    <row r="190" spans="1:17" s="1011" customFormat="1" ht="51.75" customHeight="1">
      <c r="A190" s="1007"/>
      <c r="B190" s="543"/>
      <c r="C190" s="1007" t="s">
        <v>83</v>
      </c>
      <c r="D190" s="1007" t="s">
        <v>37</v>
      </c>
      <c r="E190" s="1009" t="s">
        <v>1960</v>
      </c>
      <c r="F190" s="543">
        <v>16901200</v>
      </c>
      <c r="G190" s="109" t="s">
        <v>69</v>
      </c>
      <c r="H190" s="546">
        <v>42216</v>
      </c>
      <c r="I190" s="1007" t="s">
        <v>1005</v>
      </c>
      <c r="J190" s="1007" t="s">
        <v>1005</v>
      </c>
      <c r="K190" s="1007" t="s">
        <v>90</v>
      </c>
      <c r="L190" s="543">
        <v>16901200</v>
      </c>
      <c r="M190" s="1014">
        <v>42242</v>
      </c>
      <c r="N190" s="1014">
        <v>42262</v>
      </c>
      <c r="O190" s="1006">
        <v>1</v>
      </c>
      <c r="P190" s="1006">
        <v>1</v>
      </c>
      <c r="Q190" s="547" t="s">
        <v>1864</v>
      </c>
    </row>
    <row r="191" spans="1:17" s="1011" customFormat="1" ht="69" customHeight="1">
      <c r="A191" s="552" t="s">
        <v>1961</v>
      </c>
      <c r="B191" s="541">
        <f>SUM(F192:F195)</f>
        <v>125000000</v>
      </c>
      <c r="C191" s="1007"/>
      <c r="D191" s="1007"/>
      <c r="E191" s="1009"/>
      <c r="F191" s="543"/>
      <c r="G191" s="109"/>
      <c r="H191" s="546"/>
      <c r="I191" s="1007"/>
      <c r="J191" s="1007"/>
      <c r="K191" s="1007"/>
      <c r="L191" s="1008"/>
      <c r="M191" s="1014"/>
      <c r="N191" s="1014"/>
      <c r="O191" s="1013"/>
      <c r="P191" s="1013"/>
      <c r="Q191" s="547"/>
    </row>
    <row r="192" spans="1:17" s="1011" customFormat="1" ht="58.5" customHeight="1">
      <c r="A192" s="1009"/>
      <c r="B192" s="543"/>
      <c r="C192" s="1007" t="s">
        <v>83</v>
      </c>
      <c r="D192" s="1007" t="s">
        <v>37</v>
      </c>
      <c r="E192" s="1009" t="s">
        <v>1962</v>
      </c>
      <c r="F192" s="543">
        <v>50000000</v>
      </c>
      <c r="G192" s="109" t="s">
        <v>89</v>
      </c>
      <c r="H192" s="546">
        <v>42261</v>
      </c>
      <c r="I192" s="109" t="s">
        <v>1005</v>
      </c>
      <c r="J192" s="109" t="s">
        <v>1005</v>
      </c>
      <c r="K192" s="1007" t="s">
        <v>79</v>
      </c>
      <c r="L192" s="543">
        <v>50000000</v>
      </c>
      <c r="M192" s="1014">
        <v>42243</v>
      </c>
      <c r="N192" s="546">
        <v>42261</v>
      </c>
      <c r="O192" s="1006">
        <v>1</v>
      </c>
      <c r="P192" s="1006">
        <v>1</v>
      </c>
      <c r="Q192" s="547" t="s">
        <v>1864</v>
      </c>
    </row>
    <row r="193" spans="1:17" s="1011" customFormat="1" ht="58.5" customHeight="1">
      <c r="A193" s="1009"/>
      <c r="B193" s="543"/>
      <c r="C193" s="1007" t="s">
        <v>83</v>
      </c>
      <c r="D193" s="1007" t="s">
        <v>37</v>
      </c>
      <c r="E193" s="1009" t="s">
        <v>1963</v>
      </c>
      <c r="F193" s="543">
        <v>25000000</v>
      </c>
      <c r="G193" s="109" t="s">
        <v>89</v>
      </c>
      <c r="H193" s="546">
        <v>42261</v>
      </c>
      <c r="I193" s="109" t="s">
        <v>1005</v>
      </c>
      <c r="J193" s="109" t="s">
        <v>1005</v>
      </c>
      <c r="K193" s="1007" t="s">
        <v>79</v>
      </c>
      <c r="L193" s="543">
        <v>25000000</v>
      </c>
      <c r="M193" s="1014">
        <v>42243</v>
      </c>
      <c r="N193" s="546">
        <v>42261</v>
      </c>
      <c r="O193" s="1006">
        <v>1</v>
      </c>
      <c r="P193" s="1006">
        <v>1</v>
      </c>
      <c r="Q193" s="547" t="s">
        <v>1864</v>
      </c>
    </row>
    <row r="194" spans="1:17" s="1011" customFormat="1" ht="51.75" customHeight="1">
      <c r="A194" s="1007"/>
      <c r="B194" s="543"/>
      <c r="C194" s="1007" t="s">
        <v>1065</v>
      </c>
      <c r="D194" s="1007" t="s">
        <v>37</v>
      </c>
      <c r="E194" s="1009" t="s">
        <v>1964</v>
      </c>
      <c r="F194" s="543">
        <v>25000000</v>
      </c>
      <c r="G194" s="109" t="s">
        <v>89</v>
      </c>
      <c r="H194" s="546">
        <v>42261</v>
      </c>
      <c r="I194" s="109" t="s">
        <v>1005</v>
      </c>
      <c r="J194" s="109" t="s">
        <v>1005</v>
      </c>
      <c r="K194" s="1007" t="s">
        <v>79</v>
      </c>
      <c r="L194" s="543">
        <v>25000000</v>
      </c>
      <c r="M194" s="1014">
        <v>42243</v>
      </c>
      <c r="N194" s="546">
        <v>42261</v>
      </c>
      <c r="O194" s="1006">
        <v>1</v>
      </c>
      <c r="P194" s="1006">
        <v>1</v>
      </c>
      <c r="Q194" s="547" t="s">
        <v>1864</v>
      </c>
    </row>
    <row r="195" spans="1:17" s="1011" customFormat="1" ht="51.75" customHeight="1">
      <c r="A195" s="1007"/>
      <c r="B195" s="543"/>
      <c r="C195" s="1007" t="s">
        <v>1063</v>
      </c>
      <c r="D195" s="1007" t="s">
        <v>37</v>
      </c>
      <c r="E195" s="1009" t="s">
        <v>1965</v>
      </c>
      <c r="F195" s="543">
        <v>25000000</v>
      </c>
      <c r="G195" s="109" t="s">
        <v>89</v>
      </c>
      <c r="H195" s="546">
        <v>42261</v>
      </c>
      <c r="I195" s="109" t="s">
        <v>1005</v>
      </c>
      <c r="J195" s="109" t="s">
        <v>1005</v>
      </c>
      <c r="K195" s="1007" t="s">
        <v>79</v>
      </c>
      <c r="L195" s="543">
        <v>25000000</v>
      </c>
      <c r="M195" s="1014">
        <v>42243</v>
      </c>
      <c r="N195" s="546">
        <v>42261</v>
      </c>
      <c r="O195" s="1006">
        <v>1</v>
      </c>
      <c r="P195" s="1006">
        <v>1</v>
      </c>
      <c r="Q195" s="547" t="s">
        <v>1864</v>
      </c>
    </row>
    <row r="196" spans="1:17" ht="33.75">
      <c r="A196" s="552" t="s">
        <v>1132</v>
      </c>
      <c r="B196" s="541">
        <f>+B197+B199+B201</f>
        <v>15700000</v>
      </c>
      <c r="C196" s="109"/>
      <c r="D196" s="109"/>
      <c r="E196" s="542"/>
      <c r="F196" s="543"/>
      <c r="G196" s="109"/>
      <c r="H196" s="546"/>
      <c r="I196" s="109"/>
      <c r="J196" s="109"/>
      <c r="K196" s="109"/>
      <c r="L196" s="549"/>
      <c r="M196" s="121"/>
      <c r="N196" s="121"/>
      <c r="O196" s="121"/>
      <c r="P196" s="121"/>
      <c r="Q196" s="121"/>
    </row>
    <row r="197" spans="1:17">
      <c r="A197" s="551" t="s">
        <v>92</v>
      </c>
      <c r="B197" s="477">
        <f>SUM(F198)</f>
        <v>5500000</v>
      </c>
      <c r="C197" s="109"/>
      <c r="D197" s="109"/>
      <c r="E197" s="542"/>
      <c r="F197" s="543"/>
      <c r="G197" s="109"/>
      <c r="H197" s="546"/>
      <c r="I197" s="109"/>
      <c r="J197" s="109"/>
      <c r="K197" s="109"/>
      <c r="L197" s="549"/>
      <c r="M197" s="121"/>
      <c r="N197" s="121"/>
      <c r="O197" s="121"/>
      <c r="P197" s="121"/>
      <c r="Q197" s="121"/>
    </row>
    <row r="198" spans="1:17" ht="59.25" customHeight="1">
      <c r="A198" s="109"/>
      <c r="B198" s="477"/>
      <c r="C198" s="109" t="s">
        <v>80</v>
      </c>
      <c r="D198" s="109" t="s">
        <v>37</v>
      </c>
      <c r="E198" s="542" t="s">
        <v>1966</v>
      </c>
      <c r="F198" s="543">
        <v>5500000</v>
      </c>
      <c r="G198" s="109" t="s">
        <v>6</v>
      </c>
      <c r="H198" s="546">
        <v>42216</v>
      </c>
      <c r="I198" s="109" t="s">
        <v>1005</v>
      </c>
      <c r="J198" s="109" t="s">
        <v>1005</v>
      </c>
      <c r="K198" s="109" t="s">
        <v>89</v>
      </c>
      <c r="L198" s="549">
        <v>5500000</v>
      </c>
      <c r="M198" s="550">
        <v>42090</v>
      </c>
      <c r="N198" s="546">
        <v>42208</v>
      </c>
      <c r="O198" s="1006">
        <v>1</v>
      </c>
      <c r="P198" s="1006">
        <v>1</v>
      </c>
      <c r="Q198" s="547" t="s">
        <v>1864</v>
      </c>
    </row>
    <row r="199" spans="1:17">
      <c r="A199" s="551" t="s">
        <v>1133</v>
      </c>
      <c r="B199" s="477">
        <f>SUM(F200)</f>
        <v>3900000</v>
      </c>
      <c r="C199" s="109"/>
      <c r="D199" s="109"/>
      <c r="E199" s="542"/>
      <c r="F199" s="543"/>
      <c r="G199" s="109"/>
      <c r="H199" s="546"/>
      <c r="I199" s="109"/>
      <c r="J199" s="109"/>
      <c r="K199" s="109"/>
      <c r="L199" s="549"/>
      <c r="M199" s="121"/>
      <c r="N199" s="121"/>
      <c r="O199" s="121"/>
      <c r="P199" s="121"/>
      <c r="Q199" s="121"/>
    </row>
    <row r="200" spans="1:17" ht="60" customHeight="1">
      <c r="A200" s="109"/>
      <c r="B200" s="477"/>
      <c r="C200" s="109" t="s">
        <v>80</v>
      </c>
      <c r="D200" s="109" t="s">
        <v>37</v>
      </c>
      <c r="E200" s="542" t="s">
        <v>1967</v>
      </c>
      <c r="F200" s="543">
        <v>3900000</v>
      </c>
      <c r="G200" s="109" t="s">
        <v>6</v>
      </c>
      <c r="H200" s="546">
        <v>42135</v>
      </c>
      <c r="I200" s="109" t="s">
        <v>1005</v>
      </c>
      <c r="J200" s="109" t="s">
        <v>1005</v>
      </c>
      <c r="K200" s="109" t="s">
        <v>89</v>
      </c>
      <c r="L200" s="549">
        <v>3892925</v>
      </c>
      <c r="M200" s="550">
        <v>42090</v>
      </c>
      <c r="N200" s="550">
        <v>42178</v>
      </c>
      <c r="O200" s="1006">
        <v>1</v>
      </c>
      <c r="P200" s="1006">
        <v>1</v>
      </c>
      <c r="Q200" s="547" t="s">
        <v>1864</v>
      </c>
    </row>
    <row r="201" spans="1:17">
      <c r="A201" s="551" t="s">
        <v>1134</v>
      </c>
      <c r="B201" s="477">
        <f>SUM(F202)</f>
        <v>6300000</v>
      </c>
      <c r="C201" s="109"/>
      <c r="D201" s="109"/>
      <c r="E201" s="542"/>
      <c r="F201" s="543"/>
      <c r="G201" s="109"/>
      <c r="H201" s="546"/>
      <c r="I201" s="109"/>
      <c r="J201" s="109"/>
      <c r="K201" s="109"/>
      <c r="L201" s="549"/>
      <c r="M201" s="121"/>
      <c r="N201" s="121"/>
      <c r="O201" s="121"/>
      <c r="P201" s="121"/>
      <c r="Q201" s="121"/>
    </row>
    <row r="202" spans="1:17" ht="36" customHeight="1">
      <c r="A202" s="109"/>
      <c r="B202" s="477"/>
      <c r="C202" s="109" t="s">
        <v>83</v>
      </c>
      <c r="D202" s="109" t="s">
        <v>37</v>
      </c>
      <c r="E202" s="542" t="s">
        <v>1968</v>
      </c>
      <c r="F202" s="543">
        <v>6300000</v>
      </c>
      <c r="G202" s="109" t="s">
        <v>6</v>
      </c>
      <c r="H202" s="546">
        <v>42135</v>
      </c>
      <c r="I202" s="109" t="s">
        <v>1005</v>
      </c>
      <c r="J202" s="109" t="s">
        <v>1005</v>
      </c>
      <c r="K202" s="109" t="s">
        <v>89</v>
      </c>
      <c r="L202" s="549">
        <v>6024682</v>
      </c>
      <c r="M202" s="550">
        <v>42090</v>
      </c>
      <c r="N202" s="550">
        <v>42175</v>
      </c>
      <c r="O202" s="1006">
        <v>1</v>
      </c>
      <c r="P202" s="1006">
        <v>1</v>
      </c>
      <c r="Q202" s="547" t="s">
        <v>1864</v>
      </c>
    </row>
    <row r="203" spans="1:17" ht="33.75">
      <c r="A203" s="552" t="s">
        <v>1135</v>
      </c>
      <c r="B203" s="541">
        <f>+B204+B206</f>
        <v>37000000</v>
      </c>
      <c r="C203" s="109"/>
      <c r="D203" s="109"/>
      <c r="E203" s="542"/>
      <c r="F203" s="543"/>
      <c r="G203" s="109"/>
      <c r="H203" s="546"/>
      <c r="I203" s="109"/>
      <c r="J203" s="109"/>
      <c r="K203" s="109"/>
      <c r="L203" s="549"/>
      <c r="M203" s="550"/>
      <c r="N203" s="121"/>
      <c r="O203" s="121"/>
      <c r="P203" s="121"/>
      <c r="Q203" s="547"/>
    </row>
    <row r="204" spans="1:17" ht="22.5">
      <c r="A204" s="551" t="s">
        <v>93</v>
      </c>
      <c r="B204" s="477">
        <f>SUM(F205)</f>
        <v>17000000</v>
      </c>
      <c r="C204" s="109"/>
      <c r="D204" s="109"/>
      <c r="E204" s="542"/>
      <c r="F204" s="543"/>
      <c r="G204" s="109"/>
      <c r="H204" s="546"/>
      <c r="I204" s="109"/>
      <c r="J204" s="109"/>
      <c r="K204" s="109"/>
      <c r="L204" s="549"/>
      <c r="M204" s="121"/>
      <c r="N204" s="121"/>
      <c r="O204" s="121"/>
      <c r="P204" s="121"/>
      <c r="Q204" s="121"/>
    </row>
    <row r="205" spans="1:17" ht="45">
      <c r="A205" s="109"/>
      <c r="B205" s="477"/>
      <c r="C205" s="109" t="s">
        <v>83</v>
      </c>
      <c r="D205" s="109" t="s">
        <v>37</v>
      </c>
      <c r="E205" s="542" t="s">
        <v>1969</v>
      </c>
      <c r="F205" s="543">
        <v>17000000</v>
      </c>
      <c r="G205" s="109" t="s">
        <v>6</v>
      </c>
      <c r="H205" s="546">
        <v>42135</v>
      </c>
      <c r="I205" s="109" t="s">
        <v>1005</v>
      </c>
      <c r="J205" s="109" t="s">
        <v>1005</v>
      </c>
      <c r="K205" s="109" t="s">
        <v>89</v>
      </c>
      <c r="L205" s="549">
        <v>16967098</v>
      </c>
      <c r="M205" s="550">
        <v>42150</v>
      </c>
      <c r="N205" s="550">
        <v>42178</v>
      </c>
      <c r="O205" s="1006">
        <v>1</v>
      </c>
      <c r="P205" s="1006">
        <v>1</v>
      </c>
      <c r="Q205" s="547" t="s">
        <v>1864</v>
      </c>
    </row>
    <row r="206" spans="1:17" ht="22.5">
      <c r="A206" s="551" t="s">
        <v>1136</v>
      </c>
      <c r="B206" s="477">
        <f>SUM(F207)</f>
        <v>20000000</v>
      </c>
      <c r="C206" s="109"/>
      <c r="D206" s="109"/>
      <c r="E206" s="542"/>
      <c r="F206" s="543"/>
      <c r="G206" s="109"/>
      <c r="H206" s="546"/>
      <c r="I206" s="109"/>
      <c r="J206" s="109"/>
      <c r="K206" s="109"/>
      <c r="L206" s="549"/>
      <c r="M206" s="121"/>
      <c r="N206" s="121"/>
      <c r="O206" s="121"/>
      <c r="P206" s="121"/>
      <c r="Q206" s="121"/>
    </row>
    <row r="207" spans="1:17" ht="75.75" customHeight="1">
      <c r="A207" s="109"/>
      <c r="B207" s="477"/>
      <c r="C207" s="109" t="s">
        <v>83</v>
      </c>
      <c r="D207" s="109" t="s">
        <v>37</v>
      </c>
      <c r="E207" s="542" t="s">
        <v>1970</v>
      </c>
      <c r="F207" s="543">
        <v>20000000</v>
      </c>
      <c r="G207" s="109" t="s">
        <v>6</v>
      </c>
      <c r="H207" s="546">
        <v>42135</v>
      </c>
      <c r="I207" s="109" t="s">
        <v>1005</v>
      </c>
      <c r="J207" s="109" t="s">
        <v>1005</v>
      </c>
      <c r="K207" s="109" t="s">
        <v>89</v>
      </c>
      <c r="L207" s="549">
        <v>19995425</v>
      </c>
      <c r="M207" s="550">
        <v>42101</v>
      </c>
      <c r="N207" s="550">
        <v>42153</v>
      </c>
      <c r="O207" s="1006">
        <v>1</v>
      </c>
      <c r="P207" s="1006">
        <v>1</v>
      </c>
      <c r="Q207" s="547" t="s">
        <v>1864</v>
      </c>
    </row>
    <row r="208" spans="1:17" ht="33.75">
      <c r="A208" s="552" t="s">
        <v>1137</v>
      </c>
      <c r="B208" s="541">
        <f>+B209+B211+B214</f>
        <v>72000000</v>
      </c>
      <c r="C208" s="109"/>
      <c r="D208" s="109"/>
      <c r="E208" s="542"/>
      <c r="F208" s="543"/>
      <c r="G208" s="109"/>
      <c r="H208" s="546"/>
      <c r="I208" s="109"/>
      <c r="J208" s="109"/>
      <c r="K208" s="109"/>
      <c r="L208" s="549"/>
      <c r="M208" s="121"/>
      <c r="N208" s="121"/>
      <c r="O208" s="121"/>
      <c r="P208" s="121"/>
      <c r="Q208" s="121"/>
    </row>
    <row r="209" spans="1:17">
      <c r="A209" s="551" t="s">
        <v>94</v>
      </c>
      <c r="B209" s="477">
        <f>SUM(F210)</f>
        <v>10000000</v>
      </c>
      <c r="C209" s="109"/>
      <c r="D209" s="109"/>
      <c r="E209" s="542"/>
      <c r="F209" s="543"/>
      <c r="G209" s="109"/>
      <c r="H209" s="546"/>
      <c r="I209" s="109"/>
      <c r="J209" s="109"/>
      <c r="K209" s="109"/>
      <c r="L209" s="549"/>
      <c r="M209" s="121"/>
      <c r="N209" s="121"/>
      <c r="O209" s="121"/>
      <c r="P209" s="121"/>
      <c r="Q209" s="121"/>
    </row>
    <row r="210" spans="1:17" ht="51.75" customHeight="1">
      <c r="A210" s="109"/>
      <c r="B210" s="477"/>
      <c r="C210" s="109" t="s">
        <v>83</v>
      </c>
      <c r="D210" s="109" t="s">
        <v>37</v>
      </c>
      <c r="E210" s="542" t="s">
        <v>1971</v>
      </c>
      <c r="F210" s="543">
        <v>10000000</v>
      </c>
      <c r="G210" s="109" t="s">
        <v>6</v>
      </c>
      <c r="H210" s="546">
        <v>42216</v>
      </c>
      <c r="I210" s="109" t="s">
        <v>1005</v>
      </c>
      <c r="J210" s="109" t="s">
        <v>1005</v>
      </c>
      <c r="K210" s="109" t="s">
        <v>79</v>
      </c>
      <c r="L210" s="549">
        <v>10000000</v>
      </c>
      <c r="M210" s="550">
        <v>42150</v>
      </c>
      <c r="N210" s="1015">
        <v>42269</v>
      </c>
      <c r="O210" s="1006">
        <v>1</v>
      </c>
      <c r="P210" s="1006">
        <v>1</v>
      </c>
      <c r="Q210" s="547" t="s">
        <v>1864</v>
      </c>
    </row>
    <row r="211" spans="1:17" ht="33.75">
      <c r="A211" s="551" t="s">
        <v>208</v>
      </c>
      <c r="B211" s="477">
        <f>SUM(F212:F213)</f>
        <v>12000000</v>
      </c>
      <c r="C211" s="109"/>
      <c r="D211" s="109"/>
      <c r="E211" s="542"/>
      <c r="F211" s="543"/>
      <c r="G211" s="109"/>
      <c r="H211" s="546"/>
      <c r="I211" s="109"/>
      <c r="J211" s="109"/>
      <c r="K211" s="109"/>
      <c r="L211" s="549"/>
      <c r="M211" s="121"/>
      <c r="N211" s="121"/>
      <c r="O211" s="121"/>
      <c r="P211" s="121"/>
      <c r="Q211" s="121"/>
    </row>
    <row r="212" spans="1:17" ht="45">
      <c r="A212" s="551"/>
      <c r="B212" s="477"/>
      <c r="C212" s="109" t="s">
        <v>78</v>
      </c>
      <c r="D212" s="109" t="s">
        <v>37</v>
      </c>
      <c r="E212" s="542" t="s">
        <v>1972</v>
      </c>
      <c r="F212" s="543">
        <v>6024000</v>
      </c>
      <c r="G212" s="109" t="s">
        <v>6</v>
      </c>
      <c r="H212" s="546">
        <v>42135</v>
      </c>
      <c r="I212" s="109" t="s">
        <v>1005</v>
      </c>
      <c r="J212" s="109" t="s">
        <v>1005</v>
      </c>
      <c r="K212" s="109" t="s">
        <v>70</v>
      </c>
      <c r="L212" s="549">
        <v>6023998</v>
      </c>
      <c r="M212" s="550">
        <v>42149</v>
      </c>
      <c r="N212" s="550">
        <v>42173</v>
      </c>
      <c r="O212" s="1006">
        <v>1</v>
      </c>
      <c r="P212" s="1006">
        <v>1</v>
      </c>
      <c r="Q212" s="547" t="s">
        <v>1864</v>
      </c>
    </row>
    <row r="213" spans="1:17" ht="51" customHeight="1">
      <c r="A213" s="109"/>
      <c r="B213" s="477"/>
      <c r="C213" s="109" t="s">
        <v>694</v>
      </c>
      <c r="D213" s="109" t="s">
        <v>37</v>
      </c>
      <c r="E213" s="542" t="s">
        <v>1973</v>
      </c>
      <c r="F213" s="543">
        <v>5976000</v>
      </c>
      <c r="G213" s="109" t="s">
        <v>6</v>
      </c>
      <c r="H213" s="546">
        <v>42216</v>
      </c>
      <c r="I213" s="109" t="s">
        <v>1005</v>
      </c>
      <c r="J213" s="109" t="s">
        <v>1005</v>
      </c>
      <c r="K213" s="109" t="s">
        <v>90</v>
      </c>
      <c r="L213" s="543">
        <v>5976000</v>
      </c>
      <c r="M213" s="550">
        <v>42150</v>
      </c>
      <c r="N213" s="1015">
        <v>42250</v>
      </c>
      <c r="O213" s="1006">
        <v>1</v>
      </c>
      <c r="P213" s="1006">
        <v>1</v>
      </c>
      <c r="Q213" s="547" t="s">
        <v>1864</v>
      </c>
    </row>
    <row r="214" spans="1:17" ht="22.5">
      <c r="A214" s="551" t="s">
        <v>95</v>
      </c>
      <c r="B214" s="477">
        <f>SUM(F215:F220)</f>
        <v>50000000</v>
      </c>
      <c r="C214" s="109"/>
      <c r="D214" s="109"/>
      <c r="E214" s="542"/>
      <c r="F214" s="543"/>
      <c r="G214" s="109"/>
      <c r="H214" s="546"/>
      <c r="I214" s="109"/>
      <c r="J214" s="109"/>
      <c r="K214" s="109"/>
      <c r="L214" s="549"/>
      <c r="M214" s="121"/>
      <c r="N214" s="121"/>
      <c r="O214" s="121"/>
      <c r="P214" s="121"/>
      <c r="Q214" s="121"/>
    </row>
    <row r="215" spans="1:17" ht="49.5" customHeight="1">
      <c r="A215" s="109"/>
      <c r="B215" s="477"/>
      <c r="C215" s="109" t="s">
        <v>78</v>
      </c>
      <c r="D215" s="109" t="s">
        <v>37</v>
      </c>
      <c r="E215" s="542" t="s">
        <v>1974</v>
      </c>
      <c r="F215" s="543">
        <f>15060000+2812000</f>
        <v>17872000</v>
      </c>
      <c r="G215" s="109" t="s">
        <v>4</v>
      </c>
      <c r="H215" s="546">
        <v>42058</v>
      </c>
      <c r="I215" s="109" t="s">
        <v>1005</v>
      </c>
      <c r="J215" s="109" t="s">
        <v>1005</v>
      </c>
      <c r="K215" s="109" t="s">
        <v>79</v>
      </c>
      <c r="L215" s="543">
        <v>15060000</v>
      </c>
      <c r="M215" s="550">
        <v>42041</v>
      </c>
      <c r="N215" s="550">
        <v>42075</v>
      </c>
      <c r="O215" s="1006">
        <v>1</v>
      </c>
      <c r="P215" s="1006">
        <v>1</v>
      </c>
      <c r="Q215" s="547" t="s">
        <v>1864</v>
      </c>
    </row>
    <row r="216" spans="1:17" ht="48" customHeight="1">
      <c r="A216" s="109"/>
      <c r="B216" s="477"/>
      <c r="C216" s="109" t="s">
        <v>80</v>
      </c>
      <c r="D216" s="109" t="s">
        <v>37</v>
      </c>
      <c r="E216" s="542" t="s">
        <v>1138</v>
      </c>
      <c r="F216" s="543">
        <v>7028000</v>
      </c>
      <c r="G216" s="109" t="s">
        <v>4</v>
      </c>
      <c r="H216" s="546">
        <v>42058</v>
      </c>
      <c r="I216" s="109" t="s">
        <v>1005</v>
      </c>
      <c r="J216" s="109" t="s">
        <v>1005</v>
      </c>
      <c r="K216" s="109" t="s">
        <v>79</v>
      </c>
      <c r="L216" s="543">
        <v>7028000</v>
      </c>
      <c r="M216" s="550">
        <v>42061</v>
      </c>
      <c r="N216" s="550">
        <v>42075</v>
      </c>
      <c r="O216" s="545">
        <v>1</v>
      </c>
      <c r="P216" s="1006">
        <v>1</v>
      </c>
      <c r="Q216" s="547" t="s">
        <v>1864</v>
      </c>
    </row>
    <row r="217" spans="1:17" ht="56.25" customHeight="1">
      <c r="A217" s="109"/>
      <c r="B217" s="477"/>
      <c r="C217" s="109" t="s">
        <v>763</v>
      </c>
      <c r="D217" s="109" t="s">
        <v>37</v>
      </c>
      <c r="E217" s="542" t="s">
        <v>1139</v>
      </c>
      <c r="F217" s="543">
        <v>8032000</v>
      </c>
      <c r="G217" s="109" t="s">
        <v>4</v>
      </c>
      <c r="H217" s="546">
        <v>42058</v>
      </c>
      <c r="I217" s="109" t="s">
        <v>1005</v>
      </c>
      <c r="J217" s="109" t="s">
        <v>1005</v>
      </c>
      <c r="K217" s="109" t="s">
        <v>79</v>
      </c>
      <c r="L217" s="543">
        <v>8032000</v>
      </c>
      <c r="M217" s="550">
        <v>42061</v>
      </c>
      <c r="N217" s="550">
        <v>42156</v>
      </c>
      <c r="O217" s="545">
        <v>1</v>
      </c>
      <c r="P217" s="1006">
        <v>1</v>
      </c>
      <c r="Q217" s="547" t="s">
        <v>1864</v>
      </c>
    </row>
    <row r="218" spans="1:17" ht="45" customHeight="1">
      <c r="A218" s="109"/>
      <c r="B218" s="477"/>
      <c r="C218" s="109" t="s">
        <v>694</v>
      </c>
      <c r="D218" s="109" t="s">
        <v>37</v>
      </c>
      <c r="E218" s="542" t="s">
        <v>1140</v>
      </c>
      <c r="F218" s="543">
        <v>8032000</v>
      </c>
      <c r="G218" s="109" t="s">
        <v>4</v>
      </c>
      <c r="H218" s="546">
        <v>42058</v>
      </c>
      <c r="I218" s="109" t="s">
        <v>1005</v>
      </c>
      <c r="J218" s="109" t="s">
        <v>1005</v>
      </c>
      <c r="K218" s="109" t="s">
        <v>79</v>
      </c>
      <c r="L218" s="543">
        <v>8032000</v>
      </c>
      <c r="M218" s="550">
        <v>42061</v>
      </c>
      <c r="N218" s="550">
        <v>42082</v>
      </c>
      <c r="O218" s="1006">
        <v>1</v>
      </c>
      <c r="P218" s="1006">
        <v>1</v>
      </c>
      <c r="Q218" s="547" t="s">
        <v>1864</v>
      </c>
    </row>
    <row r="219" spans="1:17" ht="33.75">
      <c r="A219" s="109"/>
      <c r="B219" s="477"/>
      <c r="C219" s="109" t="s">
        <v>761</v>
      </c>
      <c r="D219" s="109" t="s">
        <v>37</v>
      </c>
      <c r="E219" s="542" t="s">
        <v>1141</v>
      </c>
      <c r="F219" s="543">
        <v>7028000</v>
      </c>
      <c r="G219" s="109" t="s">
        <v>4</v>
      </c>
      <c r="H219" s="546">
        <v>42058</v>
      </c>
      <c r="I219" s="109" t="s">
        <v>1005</v>
      </c>
      <c r="J219" s="109" t="s">
        <v>1005</v>
      </c>
      <c r="K219" s="109" t="s">
        <v>79</v>
      </c>
      <c r="L219" s="543">
        <v>7028000</v>
      </c>
      <c r="M219" s="550">
        <v>42061</v>
      </c>
      <c r="N219" s="550">
        <v>42076</v>
      </c>
      <c r="O219" s="545">
        <v>1</v>
      </c>
      <c r="P219" s="1006">
        <v>1</v>
      </c>
      <c r="Q219" s="547" t="s">
        <v>1864</v>
      </c>
    </row>
    <row r="220" spans="1:17" ht="49.5" customHeight="1">
      <c r="A220" s="109"/>
      <c r="B220" s="477"/>
      <c r="C220" s="109" t="s">
        <v>694</v>
      </c>
      <c r="D220" s="109" t="s">
        <v>37</v>
      </c>
      <c r="E220" s="542" t="s">
        <v>1142</v>
      </c>
      <c r="F220" s="543">
        <v>2008000</v>
      </c>
      <c r="G220" s="109" t="s">
        <v>4</v>
      </c>
      <c r="H220" s="546">
        <v>42058</v>
      </c>
      <c r="I220" s="109" t="s">
        <v>1005</v>
      </c>
      <c r="J220" s="109" t="s">
        <v>1005</v>
      </c>
      <c r="K220" s="109" t="s">
        <v>79</v>
      </c>
      <c r="L220" s="543">
        <v>2008000</v>
      </c>
      <c r="M220" s="550">
        <v>42061</v>
      </c>
      <c r="N220" s="550">
        <v>42082</v>
      </c>
      <c r="O220" s="1006">
        <v>1</v>
      </c>
      <c r="P220" s="1006">
        <v>1</v>
      </c>
      <c r="Q220" s="547" t="s">
        <v>1864</v>
      </c>
    </row>
    <row r="221" spans="1:17" ht="45" customHeight="1">
      <c r="A221" s="552" t="s">
        <v>96</v>
      </c>
      <c r="B221" s="541">
        <f>+B222+B224+B226+B228+B230+B232+B234+B236+B238+B240+B242+B245+B247</f>
        <v>335000000</v>
      </c>
      <c r="C221" s="109"/>
      <c r="D221" s="109"/>
      <c r="E221" s="542"/>
      <c r="F221" s="543"/>
      <c r="G221" s="109"/>
      <c r="H221" s="546"/>
      <c r="I221" s="109"/>
      <c r="J221" s="109"/>
      <c r="K221" s="109"/>
      <c r="L221" s="549"/>
      <c r="M221" s="121"/>
      <c r="N221" s="121"/>
      <c r="O221" s="121"/>
      <c r="P221" s="121"/>
      <c r="Q221" s="121"/>
    </row>
    <row r="222" spans="1:17" ht="22.5">
      <c r="A222" s="551" t="s">
        <v>1143</v>
      </c>
      <c r="B222" s="477">
        <f>SUM(F223)</f>
        <v>55000000</v>
      </c>
      <c r="C222" s="109"/>
      <c r="D222" s="109"/>
      <c r="E222" s="542"/>
      <c r="F222" s="543"/>
      <c r="G222" s="109"/>
      <c r="H222" s="546"/>
      <c r="I222" s="109"/>
      <c r="J222" s="109"/>
      <c r="K222" s="109"/>
      <c r="L222" s="549"/>
      <c r="M222" s="121"/>
      <c r="N222" s="121"/>
      <c r="O222" s="121"/>
      <c r="P222" s="121"/>
      <c r="Q222" s="121"/>
    </row>
    <row r="223" spans="1:17" ht="45">
      <c r="A223" s="109"/>
      <c r="B223" s="477"/>
      <c r="C223" s="109" t="s">
        <v>83</v>
      </c>
      <c r="D223" s="109" t="s">
        <v>37</v>
      </c>
      <c r="E223" s="542" t="s">
        <v>1975</v>
      </c>
      <c r="F223" s="543">
        <v>55000000</v>
      </c>
      <c r="G223" s="109" t="s">
        <v>6</v>
      </c>
      <c r="H223" s="546">
        <v>42135</v>
      </c>
      <c r="I223" s="109" t="s">
        <v>1005</v>
      </c>
      <c r="J223" s="109" t="s">
        <v>1005</v>
      </c>
      <c r="K223" s="109" t="s">
        <v>89</v>
      </c>
      <c r="L223" s="549">
        <v>47959647</v>
      </c>
      <c r="M223" s="550">
        <v>42059</v>
      </c>
      <c r="N223" s="550">
        <v>42153</v>
      </c>
      <c r="O223" s="1006">
        <v>1</v>
      </c>
      <c r="P223" s="1006">
        <v>1</v>
      </c>
      <c r="Q223" s="547" t="s">
        <v>1864</v>
      </c>
    </row>
    <row r="224" spans="1:17" ht="33.75">
      <c r="A224" s="551" t="s">
        <v>1144</v>
      </c>
      <c r="B224" s="477">
        <f>SUM(F225)</f>
        <v>15000000</v>
      </c>
      <c r="C224" s="109"/>
      <c r="D224" s="109"/>
      <c r="E224" s="542"/>
      <c r="F224" s="543"/>
      <c r="G224" s="109"/>
      <c r="H224" s="546"/>
      <c r="I224" s="109"/>
      <c r="J224" s="109"/>
      <c r="K224" s="109"/>
      <c r="L224" s="549"/>
      <c r="M224" s="121"/>
      <c r="N224" s="121"/>
      <c r="O224" s="121"/>
      <c r="P224" s="121"/>
      <c r="Q224" s="121"/>
    </row>
    <row r="225" spans="1:17" ht="45">
      <c r="A225" s="109"/>
      <c r="B225" s="477"/>
      <c r="C225" s="109" t="s">
        <v>83</v>
      </c>
      <c r="D225" s="109" t="s">
        <v>37</v>
      </c>
      <c r="E225" s="542" t="s">
        <v>1976</v>
      </c>
      <c r="F225" s="543">
        <v>15000000</v>
      </c>
      <c r="G225" s="109" t="s">
        <v>6</v>
      </c>
      <c r="H225" s="546">
        <v>42216</v>
      </c>
      <c r="I225" s="109" t="s">
        <v>1005</v>
      </c>
      <c r="J225" s="109" t="s">
        <v>1005</v>
      </c>
      <c r="K225" s="109" t="s">
        <v>89</v>
      </c>
      <c r="L225" s="549">
        <v>15000000</v>
      </c>
      <c r="M225" s="550">
        <v>42059</v>
      </c>
      <c r="N225" s="546">
        <v>42214</v>
      </c>
      <c r="O225" s="1006">
        <v>1</v>
      </c>
      <c r="P225" s="1006">
        <v>1</v>
      </c>
      <c r="Q225" s="547" t="s">
        <v>1864</v>
      </c>
    </row>
    <row r="226" spans="1:17" ht="22.5">
      <c r="A226" s="551" t="s">
        <v>97</v>
      </c>
      <c r="B226" s="477">
        <f>SUM(F227)</f>
        <v>10000000</v>
      </c>
      <c r="C226" s="109"/>
      <c r="D226" s="109"/>
      <c r="E226" s="542"/>
      <c r="F226" s="543"/>
      <c r="G226" s="109"/>
      <c r="H226" s="546"/>
      <c r="I226" s="109"/>
      <c r="J226" s="109"/>
      <c r="K226" s="109"/>
      <c r="L226" s="549"/>
      <c r="M226" s="121"/>
      <c r="N226" s="121"/>
      <c r="O226" s="121"/>
      <c r="P226" s="121"/>
      <c r="Q226" s="121"/>
    </row>
    <row r="227" spans="1:17" ht="60.75" customHeight="1">
      <c r="A227" s="109"/>
      <c r="B227" s="477"/>
      <c r="C227" s="109" t="s">
        <v>83</v>
      </c>
      <c r="D227" s="109" t="s">
        <v>37</v>
      </c>
      <c r="E227" s="542" t="s">
        <v>1977</v>
      </c>
      <c r="F227" s="543">
        <v>10000000</v>
      </c>
      <c r="G227" s="109" t="s">
        <v>6</v>
      </c>
      <c r="H227" s="546">
        <v>42216</v>
      </c>
      <c r="I227" s="109" t="s">
        <v>1005</v>
      </c>
      <c r="J227" s="109" t="s">
        <v>1005</v>
      </c>
      <c r="K227" s="109" t="s">
        <v>89</v>
      </c>
      <c r="L227" s="549">
        <v>10000000</v>
      </c>
      <c r="M227" s="550">
        <v>42044</v>
      </c>
      <c r="N227" s="546">
        <v>42200</v>
      </c>
      <c r="O227" s="1006">
        <v>1</v>
      </c>
      <c r="P227" s="1006">
        <v>1</v>
      </c>
      <c r="Q227" s="547" t="s">
        <v>1864</v>
      </c>
    </row>
    <row r="228" spans="1:17" ht="22.5">
      <c r="A228" s="551" t="s">
        <v>1145</v>
      </c>
      <c r="B228" s="477">
        <f>SUM(F229)</f>
        <v>5000000</v>
      </c>
      <c r="C228" s="109"/>
      <c r="D228" s="109"/>
      <c r="E228" s="542"/>
      <c r="F228" s="543"/>
      <c r="G228" s="109"/>
      <c r="H228" s="546"/>
      <c r="I228" s="109"/>
      <c r="J228" s="109"/>
      <c r="K228" s="109"/>
      <c r="L228" s="549"/>
      <c r="M228" s="121"/>
      <c r="N228" s="121"/>
      <c r="O228" s="121"/>
      <c r="P228" s="121"/>
      <c r="Q228" s="121"/>
    </row>
    <row r="229" spans="1:17" ht="33.75">
      <c r="A229" s="109"/>
      <c r="B229" s="477"/>
      <c r="C229" s="109" t="s">
        <v>83</v>
      </c>
      <c r="D229" s="109" t="s">
        <v>37</v>
      </c>
      <c r="E229" s="542" t="s">
        <v>1978</v>
      </c>
      <c r="F229" s="543">
        <v>5000000</v>
      </c>
      <c r="G229" s="109" t="s">
        <v>6</v>
      </c>
      <c r="H229" s="546">
        <v>42216</v>
      </c>
      <c r="I229" s="109" t="s">
        <v>1005</v>
      </c>
      <c r="J229" s="109" t="s">
        <v>1005</v>
      </c>
      <c r="K229" s="109" t="s">
        <v>89</v>
      </c>
      <c r="L229" s="549">
        <v>5000000</v>
      </c>
      <c r="M229" s="550">
        <v>42059</v>
      </c>
      <c r="N229" s="546">
        <v>42213</v>
      </c>
      <c r="O229" s="1006">
        <v>1</v>
      </c>
      <c r="P229" s="1006">
        <v>1</v>
      </c>
      <c r="Q229" s="547" t="s">
        <v>1864</v>
      </c>
    </row>
    <row r="230" spans="1:17" ht="22.5">
      <c r="A230" s="551" t="s">
        <v>98</v>
      </c>
      <c r="B230" s="477">
        <f>SUM(F231)</f>
        <v>5000000</v>
      </c>
      <c r="C230" s="109"/>
      <c r="D230" s="109"/>
      <c r="E230" s="542"/>
      <c r="F230" s="543"/>
      <c r="G230" s="109"/>
      <c r="H230" s="546"/>
      <c r="I230" s="109"/>
      <c r="J230" s="109"/>
      <c r="K230" s="109"/>
      <c r="L230" s="549"/>
      <c r="M230" s="121"/>
      <c r="N230" s="121"/>
      <c r="O230" s="121"/>
      <c r="P230" s="121"/>
      <c r="Q230" s="121"/>
    </row>
    <row r="231" spans="1:17" ht="45">
      <c r="A231" s="109"/>
      <c r="B231" s="477"/>
      <c r="C231" s="109" t="s">
        <v>83</v>
      </c>
      <c r="D231" s="109" t="s">
        <v>37</v>
      </c>
      <c r="E231" s="542" t="s">
        <v>1979</v>
      </c>
      <c r="F231" s="543">
        <v>5000000</v>
      </c>
      <c r="G231" s="109" t="s">
        <v>6</v>
      </c>
      <c r="H231" s="546">
        <v>42135</v>
      </c>
      <c r="I231" s="109" t="s">
        <v>1005</v>
      </c>
      <c r="J231" s="109" t="s">
        <v>1005</v>
      </c>
      <c r="K231" s="109" t="s">
        <v>89</v>
      </c>
      <c r="L231" s="549">
        <v>4999656</v>
      </c>
      <c r="M231" s="550">
        <v>42059</v>
      </c>
      <c r="N231" s="550">
        <v>42174</v>
      </c>
      <c r="O231" s="1006">
        <v>1</v>
      </c>
      <c r="P231" s="1006">
        <v>1</v>
      </c>
      <c r="Q231" s="547" t="s">
        <v>1864</v>
      </c>
    </row>
    <row r="232" spans="1:17" ht="22.5">
      <c r="A232" s="551" t="s">
        <v>99</v>
      </c>
      <c r="B232" s="477">
        <f>SUM(F233)</f>
        <v>12000000</v>
      </c>
      <c r="C232" s="109"/>
      <c r="D232" s="109"/>
      <c r="E232" s="542"/>
      <c r="F232" s="543"/>
      <c r="G232" s="109"/>
      <c r="H232" s="546"/>
      <c r="I232" s="109"/>
      <c r="J232" s="109"/>
      <c r="K232" s="109"/>
      <c r="L232" s="549"/>
      <c r="M232" s="121"/>
      <c r="N232" s="121"/>
      <c r="O232" s="121"/>
      <c r="P232" s="121"/>
      <c r="Q232" s="121"/>
    </row>
    <row r="233" spans="1:17" ht="45">
      <c r="A233" s="551"/>
      <c r="B233" s="477"/>
      <c r="C233" s="109" t="s">
        <v>83</v>
      </c>
      <c r="D233" s="109" t="s">
        <v>37</v>
      </c>
      <c r="E233" s="542" t="s">
        <v>1980</v>
      </c>
      <c r="F233" s="543">
        <v>12000000</v>
      </c>
      <c r="G233" s="109" t="s">
        <v>6</v>
      </c>
      <c r="H233" s="546">
        <v>42135</v>
      </c>
      <c r="I233" s="109" t="s">
        <v>1005</v>
      </c>
      <c r="J233" s="109" t="s">
        <v>1005</v>
      </c>
      <c r="K233" s="109" t="s">
        <v>89</v>
      </c>
      <c r="L233" s="549">
        <v>11990780</v>
      </c>
      <c r="M233" s="550">
        <v>42059</v>
      </c>
      <c r="N233" s="550">
        <v>42174</v>
      </c>
      <c r="O233" s="1006">
        <v>1</v>
      </c>
      <c r="P233" s="1006">
        <v>1</v>
      </c>
      <c r="Q233" s="547" t="s">
        <v>1864</v>
      </c>
    </row>
    <row r="234" spans="1:17" ht="33.75">
      <c r="A234" s="551" t="s">
        <v>100</v>
      </c>
      <c r="B234" s="477">
        <f>SUM(F235)</f>
        <v>10000000</v>
      </c>
      <c r="C234" s="109"/>
      <c r="D234" s="109"/>
      <c r="E234" s="542"/>
      <c r="F234" s="543"/>
      <c r="G234" s="109"/>
      <c r="H234" s="546"/>
      <c r="I234" s="109"/>
      <c r="J234" s="109"/>
      <c r="K234" s="109"/>
      <c r="L234" s="549"/>
      <c r="M234" s="121"/>
      <c r="N234" s="121"/>
      <c r="O234" s="121"/>
      <c r="P234" s="121"/>
      <c r="Q234" s="121"/>
    </row>
    <row r="235" spans="1:17" ht="56.25">
      <c r="A235" s="109"/>
      <c r="B235" s="477"/>
      <c r="C235" s="109" t="s">
        <v>83</v>
      </c>
      <c r="D235" s="109" t="s">
        <v>37</v>
      </c>
      <c r="E235" s="542" t="s">
        <v>1981</v>
      </c>
      <c r="F235" s="543">
        <v>10000000</v>
      </c>
      <c r="G235" s="109" t="s">
        <v>6</v>
      </c>
      <c r="H235" s="546">
        <v>42216</v>
      </c>
      <c r="I235" s="109" t="s">
        <v>1005</v>
      </c>
      <c r="J235" s="109" t="s">
        <v>1005</v>
      </c>
      <c r="K235" s="109" t="s">
        <v>89</v>
      </c>
      <c r="L235" s="549">
        <v>10000000</v>
      </c>
      <c r="M235" s="550">
        <v>42059</v>
      </c>
      <c r="N235" s="546">
        <v>42200</v>
      </c>
      <c r="O235" s="1006">
        <v>1</v>
      </c>
      <c r="P235" s="1006">
        <v>1</v>
      </c>
      <c r="Q235" s="547" t="s">
        <v>1864</v>
      </c>
    </row>
    <row r="236" spans="1:17" ht="36.75" customHeight="1">
      <c r="A236" s="551" t="s">
        <v>101</v>
      </c>
      <c r="B236" s="477">
        <f>SUM(F237:F237)</f>
        <v>37000000</v>
      </c>
      <c r="C236" s="109"/>
      <c r="D236" s="109"/>
      <c r="E236" s="542"/>
      <c r="F236" s="543"/>
      <c r="G236" s="109"/>
      <c r="H236" s="546"/>
      <c r="I236" s="109"/>
      <c r="J236" s="109"/>
      <c r="K236" s="109"/>
      <c r="L236" s="549"/>
      <c r="M236" s="121"/>
      <c r="N236" s="121"/>
      <c r="O236" s="121"/>
      <c r="P236" s="121"/>
      <c r="Q236" s="121"/>
    </row>
    <row r="237" spans="1:17" ht="70.5" customHeight="1">
      <c r="A237" s="553"/>
      <c r="B237" s="477"/>
      <c r="C237" s="109" t="s">
        <v>78</v>
      </c>
      <c r="D237" s="109" t="s">
        <v>37</v>
      </c>
      <c r="E237" s="551" t="s">
        <v>1982</v>
      </c>
      <c r="F237" s="543">
        <v>37000000</v>
      </c>
      <c r="G237" s="109" t="s">
        <v>6</v>
      </c>
      <c r="H237" s="546">
        <v>42135</v>
      </c>
      <c r="I237" s="109" t="s">
        <v>1005</v>
      </c>
      <c r="J237" s="109" t="s">
        <v>1005</v>
      </c>
      <c r="K237" s="109" t="s">
        <v>70</v>
      </c>
      <c r="L237" s="543">
        <v>37000000</v>
      </c>
      <c r="M237" s="550">
        <v>42088</v>
      </c>
      <c r="N237" s="550">
        <v>42132</v>
      </c>
      <c r="O237" s="1006">
        <v>1</v>
      </c>
      <c r="P237" s="1006">
        <v>1</v>
      </c>
      <c r="Q237" s="547" t="s">
        <v>1864</v>
      </c>
    </row>
    <row r="238" spans="1:17" ht="33.75">
      <c r="A238" s="551" t="s">
        <v>102</v>
      </c>
      <c r="B238" s="477">
        <f>SUM(F239:F239)</f>
        <v>32000000</v>
      </c>
      <c r="C238" s="109"/>
      <c r="D238" s="109"/>
      <c r="E238" s="542"/>
      <c r="F238" s="543"/>
      <c r="G238" s="109"/>
      <c r="H238" s="546"/>
      <c r="I238" s="109"/>
      <c r="J238" s="109"/>
      <c r="K238" s="109"/>
      <c r="L238" s="549"/>
      <c r="M238" s="121"/>
      <c r="N238" s="121"/>
      <c r="O238" s="121"/>
      <c r="P238" s="121"/>
      <c r="Q238" s="121"/>
    </row>
    <row r="239" spans="1:17" ht="56.25">
      <c r="A239" s="553"/>
      <c r="B239" s="477"/>
      <c r="C239" s="109" t="s">
        <v>78</v>
      </c>
      <c r="D239" s="109" t="s">
        <v>37</v>
      </c>
      <c r="E239" s="551" t="s">
        <v>1983</v>
      </c>
      <c r="F239" s="543">
        <f>28724440+3275560</f>
        <v>32000000</v>
      </c>
      <c r="G239" s="109" t="s">
        <v>6</v>
      </c>
      <c r="H239" s="546">
        <v>42135</v>
      </c>
      <c r="I239" s="109" t="s">
        <v>1005</v>
      </c>
      <c r="J239" s="109" t="s">
        <v>1005</v>
      </c>
      <c r="K239" s="109" t="s">
        <v>89</v>
      </c>
      <c r="L239" s="543">
        <f>28724440+3275560</f>
        <v>32000000</v>
      </c>
      <c r="M239" s="550">
        <v>42088</v>
      </c>
      <c r="N239" s="550">
        <v>42160</v>
      </c>
      <c r="O239" s="1006">
        <v>1</v>
      </c>
      <c r="P239" s="1006">
        <v>1</v>
      </c>
      <c r="Q239" s="547" t="s">
        <v>1864</v>
      </c>
    </row>
    <row r="240" spans="1:17" ht="39.75" customHeight="1">
      <c r="A240" s="553" t="s">
        <v>1146</v>
      </c>
      <c r="B240" s="477">
        <f>SUM(F241:F241)</f>
        <v>14000000</v>
      </c>
      <c r="C240" s="109"/>
      <c r="D240" s="109"/>
      <c r="E240" s="553"/>
      <c r="F240" s="543"/>
      <c r="G240" s="109"/>
      <c r="H240" s="546"/>
      <c r="I240" s="109"/>
      <c r="J240" s="109"/>
      <c r="K240" s="109"/>
      <c r="L240" s="549"/>
      <c r="M240" s="121"/>
      <c r="N240" s="121"/>
      <c r="O240" s="121"/>
      <c r="P240" s="121"/>
      <c r="Q240" s="121"/>
    </row>
    <row r="241" spans="1:17" ht="56.25">
      <c r="A241" s="553"/>
      <c r="B241" s="477"/>
      <c r="C241" s="109" t="s">
        <v>78</v>
      </c>
      <c r="D241" s="109" t="s">
        <v>37</v>
      </c>
      <c r="E241" s="553" t="s">
        <v>1984</v>
      </c>
      <c r="F241" s="543">
        <f>10843200+3156800</f>
        <v>14000000</v>
      </c>
      <c r="G241" s="109" t="s">
        <v>6</v>
      </c>
      <c r="H241" s="546">
        <v>42135</v>
      </c>
      <c r="I241" s="109" t="s">
        <v>1005</v>
      </c>
      <c r="J241" s="109" t="s">
        <v>1005</v>
      </c>
      <c r="K241" s="109" t="s">
        <v>70</v>
      </c>
      <c r="L241" s="549" t="s">
        <v>1985</v>
      </c>
      <c r="M241" s="550">
        <v>42088</v>
      </c>
      <c r="N241" s="550">
        <v>42160</v>
      </c>
      <c r="O241" s="1006">
        <v>1</v>
      </c>
      <c r="P241" s="1006">
        <v>1</v>
      </c>
      <c r="Q241" s="547" t="s">
        <v>1864</v>
      </c>
    </row>
    <row r="242" spans="1:17" ht="22.5">
      <c r="A242" s="551" t="s">
        <v>103</v>
      </c>
      <c r="B242" s="477">
        <f>SUM(F243:F244)</f>
        <v>75000000</v>
      </c>
      <c r="C242" s="109"/>
      <c r="D242" s="109"/>
      <c r="E242" s="542"/>
      <c r="F242" s="543"/>
      <c r="G242" s="109"/>
      <c r="H242" s="546"/>
      <c r="I242" s="109"/>
      <c r="J242" s="109"/>
      <c r="K242" s="109"/>
      <c r="L242" s="549"/>
      <c r="M242" s="121"/>
      <c r="N242" s="121"/>
      <c r="O242" s="121"/>
      <c r="P242" s="121"/>
      <c r="Q242" s="121"/>
    </row>
    <row r="243" spans="1:17" ht="48" customHeight="1">
      <c r="A243" s="551"/>
      <c r="B243" s="477"/>
      <c r="C243" s="109" t="s">
        <v>83</v>
      </c>
      <c r="D243" s="109" t="s">
        <v>37</v>
      </c>
      <c r="E243" s="542" t="s">
        <v>1986</v>
      </c>
      <c r="F243" s="543">
        <v>63001000</v>
      </c>
      <c r="G243" s="109" t="s">
        <v>6</v>
      </c>
      <c r="H243" s="546">
        <v>42135</v>
      </c>
      <c r="I243" s="109" t="s">
        <v>1005</v>
      </c>
      <c r="J243" s="109" t="s">
        <v>1005</v>
      </c>
      <c r="K243" s="109" t="s">
        <v>90</v>
      </c>
      <c r="L243" s="549" t="s">
        <v>1987</v>
      </c>
      <c r="M243" s="550">
        <v>42039</v>
      </c>
      <c r="N243" s="550">
        <v>42069</v>
      </c>
      <c r="O243" s="1006">
        <v>1</v>
      </c>
      <c r="P243" s="1006">
        <v>1</v>
      </c>
      <c r="Q243" s="547" t="s">
        <v>1864</v>
      </c>
    </row>
    <row r="244" spans="1:17" ht="51" customHeight="1">
      <c r="A244" s="109"/>
      <c r="B244" s="477"/>
      <c r="C244" s="109" t="s">
        <v>83</v>
      </c>
      <c r="D244" s="109" t="s">
        <v>37</v>
      </c>
      <c r="E244" s="542" t="s">
        <v>1988</v>
      </c>
      <c r="F244" s="543">
        <v>11999000</v>
      </c>
      <c r="G244" s="109" t="s">
        <v>6</v>
      </c>
      <c r="H244" s="546">
        <v>42135</v>
      </c>
      <c r="I244" s="109" t="s">
        <v>1005</v>
      </c>
      <c r="J244" s="109" t="s">
        <v>1005</v>
      </c>
      <c r="K244" s="109" t="s">
        <v>79</v>
      </c>
      <c r="L244" s="549" t="s">
        <v>1989</v>
      </c>
      <c r="M244" s="550">
        <v>42039</v>
      </c>
      <c r="N244" s="550">
        <v>42081</v>
      </c>
      <c r="O244" s="1006">
        <v>1</v>
      </c>
      <c r="P244" s="1006">
        <v>1</v>
      </c>
      <c r="Q244" s="547" t="s">
        <v>1864</v>
      </c>
    </row>
    <row r="245" spans="1:17" ht="33.75">
      <c r="A245" s="551" t="s">
        <v>1147</v>
      </c>
      <c r="B245" s="477">
        <f>SUM(F246)</f>
        <v>35000000</v>
      </c>
      <c r="C245" s="109"/>
      <c r="D245" s="109"/>
      <c r="E245" s="542"/>
      <c r="F245" s="543"/>
      <c r="G245" s="109"/>
      <c r="H245" s="546"/>
      <c r="I245" s="109"/>
      <c r="J245" s="109"/>
      <c r="K245" s="109"/>
      <c r="L245" s="549"/>
      <c r="M245" s="121"/>
      <c r="N245" s="121"/>
      <c r="O245" s="121"/>
      <c r="P245" s="121"/>
      <c r="Q245" s="121"/>
    </row>
    <row r="246" spans="1:17" ht="63" customHeight="1">
      <c r="A246" s="109"/>
      <c r="B246" s="477"/>
      <c r="C246" s="109" t="s">
        <v>83</v>
      </c>
      <c r="D246" s="109" t="s">
        <v>37</v>
      </c>
      <c r="E246" s="542" t="s">
        <v>1990</v>
      </c>
      <c r="F246" s="543">
        <v>35000000</v>
      </c>
      <c r="G246" s="109" t="s">
        <v>6</v>
      </c>
      <c r="H246" s="546">
        <v>42135</v>
      </c>
      <c r="I246" s="109" t="s">
        <v>1005</v>
      </c>
      <c r="J246" s="109" t="s">
        <v>1005</v>
      </c>
      <c r="K246" s="109" t="s">
        <v>89</v>
      </c>
      <c r="L246" s="549" t="s">
        <v>1991</v>
      </c>
      <c r="M246" s="550">
        <v>42059</v>
      </c>
      <c r="N246" s="550">
        <v>42130</v>
      </c>
      <c r="O246" s="1006">
        <v>1</v>
      </c>
      <c r="P246" s="1006">
        <v>1</v>
      </c>
      <c r="Q246" s="547" t="s">
        <v>1864</v>
      </c>
    </row>
    <row r="247" spans="1:17" ht="33.75">
      <c r="A247" s="551" t="s">
        <v>1148</v>
      </c>
      <c r="B247" s="477">
        <f>SUM(F248)</f>
        <v>30000000</v>
      </c>
      <c r="C247" s="109"/>
      <c r="D247" s="109"/>
      <c r="E247" s="542"/>
      <c r="F247" s="543"/>
      <c r="G247" s="109"/>
      <c r="H247" s="546"/>
      <c r="I247" s="109"/>
      <c r="J247" s="109"/>
      <c r="K247" s="109"/>
      <c r="L247" s="549"/>
      <c r="M247" s="121"/>
      <c r="N247" s="121"/>
      <c r="O247" s="121"/>
      <c r="P247" s="121"/>
      <c r="Q247" s="121"/>
    </row>
    <row r="248" spans="1:17" ht="48" customHeight="1">
      <c r="A248" s="109"/>
      <c r="B248" s="477"/>
      <c r="C248" s="109" t="s">
        <v>83</v>
      </c>
      <c r="D248" s="109" t="s">
        <v>37</v>
      </c>
      <c r="E248" s="542" t="s">
        <v>1992</v>
      </c>
      <c r="F248" s="543">
        <v>30000000</v>
      </c>
      <c r="G248" s="109" t="s">
        <v>6</v>
      </c>
      <c r="H248" s="546">
        <v>42135</v>
      </c>
      <c r="I248" s="109" t="s">
        <v>1005</v>
      </c>
      <c r="J248" s="109" t="s">
        <v>1005</v>
      </c>
      <c r="K248" s="109" t="s">
        <v>79</v>
      </c>
      <c r="L248" s="549" t="s">
        <v>1993</v>
      </c>
      <c r="M248" s="550">
        <v>42006</v>
      </c>
      <c r="N248" s="550">
        <v>42079</v>
      </c>
      <c r="O248" s="1006">
        <v>1</v>
      </c>
      <c r="P248" s="1006">
        <v>1</v>
      </c>
      <c r="Q248" s="547" t="s">
        <v>1864</v>
      </c>
    </row>
    <row r="249" spans="1:17" ht="45">
      <c r="A249" s="552" t="s">
        <v>1149</v>
      </c>
      <c r="B249" s="541">
        <f>+B250</f>
        <v>24900200</v>
      </c>
      <c r="C249" s="109"/>
      <c r="D249" s="109"/>
      <c r="E249" s="542"/>
      <c r="F249" s="543"/>
      <c r="G249" s="109"/>
      <c r="H249" s="546"/>
      <c r="I249" s="109"/>
      <c r="J249" s="109"/>
      <c r="K249" s="109"/>
      <c r="L249" s="549"/>
      <c r="M249" s="121"/>
      <c r="N249" s="121"/>
      <c r="O249" s="121"/>
      <c r="P249" s="121"/>
      <c r="Q249" s="121"/>
    </row>
    <row r="250" spans="1:17" ht="22.5">
      <c r="A250" s="551" t="s">
        <v>104</v>
      </c>
      <c r="B250" s="477">
        <f>SUM(F251:F252)</f>
        <v>24900200</v>
      </c>
      <c r="C250" s="109"/>
      <c r="D250" s="109"/>
      <c r="E250" s="542"/>
      <c r="F250" s="543"/>
      <c r="G250" s="109"/>
      <c r="H250" s="546"/>
      <c r="I250" s="109"/>
      <c r="J250" s="109"/>
      <c r="K250" s="109"/>
      <c r="L250" s="549"/>
      <c r="M250" s="121"/>
      <c r="N250" s="121"/>
      <c r="O250" s="121"/>
      <c r="P250" s="121"/>
      <c r="Q250" s="121"/>
    </row>
    <row r="251" spans="1:17" ht="60.75" customHeight="1">
      <c r="A251" s="109"/>
      <c r="B251" s="477"/>
      <c r="C251" s="109" t="s">
        <v>78</v>
      </c>
      <c r="D251" s="109" t="s">
        <v>37</v>
      </c>
      <c r="E251" s="542" t="s">
        <v>1994</v>
      </c>
      <c r="F251" s="543">
        <v>12450100</v>
      </c>
      <c r="G251" s="109" t="s">
        <v>6</v>
      </c>
      <c r="H251" s="546">
        <v>42135</v>
      </c>
      <c r="I251" s="109" t="s">
        <v>1005</v>
      </c>
      <c r="J251" s="109" t="s">
        <v>1005</v>
      </c>
      <c r="K251" s="109" t="s">
        <v>89</v>
      </c>
      <c r="L251" s="549" t="s">
        <v>1995</v>
      </c>
      <c r="M251" s="550">
        <v>42065</v>
      </c>
      <c r="N251" s="550">
        <v>42104</v>
      </c>
      <c r="O251" s="1006">
        <v>1</v>
      </c>
      <c r="P251" s="1012">
        <v>1</v>
      </c>
      <c r="Q251" s="547" t="s">
        <v>1864</v>
      </c>
    </row>
    <row r="252" spans="1:17" ht="63" customHeight="1">
      <c r="A252" s="109"/>
      <c r="B252" s="477"/>
      <c r="C252" s="109" t="s">
        <v>694</v>
      </c>
      <c r="D252" s="109" t="s">
        <v>37</v>
      </c>
      <c r="E252" s="542" t="s">
        <v>1996</v>
      </c>
      <c r="F252" s="543">
        <v>12450100</v>
      </c>
      <c r="G252" s="109" t="s">
        <v>6</v>
      </c>
      <c r="H252" s="546">
        <v>42135</v>
      </c>
      <c r="I252" s="109" t="s">
        <v>1005</v>
      </c>
      <c r="J252" s="109" t="s">
        <v>1005</v>
      </c>
      <c r="K252" s="109" t="s">
        <v>89</v>
      </c>
      <c r="L252" s="549" t="s">
        <v>1997</v>
      </c>
      <c r="M252" s="550">
        <v>42065</v>
      </c>
      <c r="N252" s="550">
        <v>42129</v>
      </c>
      <c r="O252" s="1012">
        <v>1</v>
      </c>
      <c r="P252" s="1006">
        <v>0.66</v>
      </c>
      <c r="Q252" s="547" t="s">
        <v>1998</v>
      </c>
    </row>
    <row r="253" spans="1:17" ht="22.5">
      <c r="A253" s="552" t="s">
        <v>39</v>
      </c>
      <c r="B253" s="541">
        <f>+B254+B256+B259</f>
        <v>58800000</v>
      </c>
      <c r="C253" s="109"/>
      <c r="D253" s="109"/>
      <c r="E253" s="542"/>
      <c r="F253" s="543"/>
      <c r="G253" s="109"/>
      <c r="H253" s="546"/>
      <c r="I253" s="109"/>
      <c r="J253" s="109"/>
      <c r="K253" s="109"/>
      <c r="L253" s="549"/>
      <c r="M253" s="550"/>
      <c r="N253" s="550"/>
      <c r="O253" s="121"/>
      <c r="P253" s="121"/>
      <c r="Q253" s="121"/>
    </row>
    <row r="254" spans="1:17" ht="83.25" customHeight="1">
      <c r="A254" s="551" t="s">
        <v>40</v>
      </c>
      <c r="B254" s="477">
        <f>SUM(F255)</f>
        <v>55000000</v>
      </c>
      <c r="C254" s="109"/>
      <c r="D254" s="109"/>
      <c r="E254" s="542"/>
      <c r="F254" s="543"/>
      <c r="G254" s="109"/>
      <c r="H254" s="546"/>
      <c r="I254" s="109"/>
      <c r="J254" s="109"/>
      <c r="K254" s="109"/>
      <c r="L254" s="549"/>
      <c r="M254" s="550"/>
      <c r="N254" s="550"/>
      <c r="O254" s="121"/>
      <c r="P254" s="121"/>
      <c r="Q254" s="121"/>
    </row>
    <row r="255" spans="1:17" ht="100.5" customHeight="1">
      <c r="A255" s="109"/>
      <c r="B255" s="477"/>
      <c r="C255" s="109" t="s">
        <v>83</v>
      </c>
      <c r="D255" s="109" t="s">
        <v>37</v>
      </c>
      <c r="E255" s="542" t="s">
        <v>1999</v>
      </c>
      <c r="F255" s="543">
        <v>55000000</v>
      </c>
      <c r="G255" s="109" t="s">
        <v>4</v>
      </c>
      <c r="H255" s="546">
        <v>42058</v>
      </c>
      <c r="I255" s="109" t="s">
        <v>1005</v>
      </c>
      <c r="J255" s="109" t="s">
        <v>1005</v>
      </c>
      <c r="K255" s="109" t="s">
        <v>79</v>
      </c>
      <c r="L255" s="549" t="s">
        <v>2000</v>
      </c>
      <c r="M255" s="550">
        <v>42065</v>
      </c>
      <c r="N255" s="550">
        <v>42079</v>
      </c>
      <c r="O255" s="1006">
        <v>1</v>
      </c>
      <c r="P255" s="1006">
        <v>1</v>
      </c>
      <c r="Q255" s="547" t="s">
        <v>1864</v>
      </c>
    </row>
    <row r="256" spans="1:17" ht="56.25">
      <c r="A256" s="551" t="s">
        <v>41</v>
      </c>
      <c r="B256" s="477">
        <f>SUM(F257:F258)</f>
        <v>1800000</v>
      </c>
      <c r="C256" s="109"/>
      <c r="D256" s="109"/>
      <c r="E256" s="542"/>
      <c r="F256" s="543"/>
      <c r="G256" s="109"/>
      <c r="H256" s="546"/>
      <c r="I256" s="109"/>
      <c r="J256" s="109"/>
      <c r="K256" s="109"/>
      <c r="L256" s="549"/>
      <c r="M256" s="550"/>
      <c r="N256" s="550"/>
      <c r="O256" s="121"/>
      <c r="P256" s="121"/>
      <c r="Q256" s="121"/>
    </row>
    <row r="257" spans="1:17" ht="50.25" customHeight="1">
      <c r="A257" s="109"/>
      <c r="B257" s="477"/>
      <c r="C257" s="109" t="s">
        <v>78</v>
      </c>
      <c r="D257" s="109" t="s">
        <v>37</v>
      </c>
      <c r="E257" s="542" t="s">
        <v>2001</v>
      </c>
      <c r="F257" s="543">
        <v>602400</v>
      </c>
      <c r="G257" s="109" t="s">
        <v>4</v>
      </c>
      <c r="H257" s="546">
        <v>42216</v>
      </c>
      <c r="I257" s="109" t="s">
        <v>1005</v>
      </c>
      <c r="J257" s="109" t="s">
        <v>1005</v>
      </c>
      <c r="K257" s="109" t="s">
        <v>79</v>
      </c>
      <c r="L257" s="549">
        <v>800000</v>
      </c>
      <c r="M257" s="550">
        <v>42082</v>
      </c>
      <c r="N257" s="1015">
        <v>42198</v>
      </c>
      <c r="O257" s="1006">
        <v>1</v>
      </c>
      <c r="P257" s="1006">
        <v>1</v>
      </c>
      <c r="Q257" s="547" t="s">
        <v>1864</v>
      </c>
    </row>
    <row r="258" spans="1:17" ht="48.75" customHeight="1">
      <c r="A258" s="109"/>
      <c r="B258" s="477"/>
      <c r="C258" s="109" t="s">
        <v>694</v>
      </c>
      <c r="D258" s="109" t="s">
        <v>37</v>
      </c>
      <c r="E258" s="542" t="s">
        <v>2002</v>
      </c>
      <c r="F258" s="543">
        <v>1197600</v>
      </c>
      <c r="G258" s="109" t="s">
        <v>4</v>
      </c>
      <c r="H258" s="546">
        <v>42058</v>
      </c>
      <c r="I258" s="109" t="s">
        <v>1005</v>
      </c>
      <c r="J258" s="109" t="s">
        <v>1005</v>
      </c>
      <c r="K258" s="109" t="s">
        <v>79</v>
      </c>
      <c r="L258" s="549" t="s">
        <v>2003</v>
      </c>
      <c r="M258" s="550">
        <v>42090</v>
      </c>
      <c r="N258" s="550">
        <v>42114</v>
      </c>
      <c r="O258" s="1006">
        <v>1</v>
      </c>
      <c r="P258" s="1006">
        <v>1</v>
      </c>
      <c r="Q258" s="547" t="s">
        <v>1864</v>
      </c>
    </row>
    <row r="259" spans="1:17" ht="22.5">
      <c r="A259" s="551" t="s">
        <v>42</v>
      </c>
      <c r="B259" s="477">
        <f>SUM(F260:F261)</f>
        <v>2000000</v>
      </c>
      <c r="C259" s="109"/>
      <c r="D259" s="109"/>
      <c r="E259" s="542"/>
      <c r="F259" s="543"/>
      <c r="G259" s="109"/>
      <c r="H259" s="546"/>
      <c r="I259" s="109"/>
      <c r="J259" s="109"/>
      <c r="K259" s="109"/>
      <c r="L259" s="549"/>
      <c r="M259" s="121"/>
      <c r="N259" s="121"/>
      <c r="O259" s="121"/>
      <c r="P259" s="121"/>
      <c r="Q259" s="121"/>
    </row>
    <row r="260" spans="1:17" ht="48" customHeight="1">
      <c r="A260" s="551"/>
      <c r="B260" s="477"/>
      <c r="C260" s="109" t="s">
        <v>78</v>
      </c>
      <c r="D260" s="109"/>
      <c r="E260" s="542" t="s">
        <v>2004</v>
      </c>
      <c r="F260" s="543">
        <v>999982</v>
      </c>
      <c r="G260" s="109" t="s">
        <v>6</v>
      </c>
      <c r="H260" s="546">
        <v>42216</v>
      </c>
      <c r="I260" s="109" t="s">
        <v>1005</v>
      </c>
      <c r="J260" s="109" t="s">
        <v>1005</v>
      </c>
      <c r="K260" s="109" t="s">
        <v>70</v>
      </c>
      <c r="L260" s="543">
        <v>999982</v>
      </c>
      <c r="M260" s="550">
        <v>42130</v>
      </c>
      <c r="N260" s="1015">
        <v>42241</v>
      </c>
      <c r="O260" s="1006">
        <v>1</v>
      </c>
      <c r="P260" s="1006">
        <v>1</v>
      </c>
      <c r="Q260" s="547" t="s">
        <v>1864</v>
      </c>
    </row>
    <row r="261" spans="1:17" ht="45">
      <c r="A261" s="109"/>
      <c r="B261" s="477"/>
      <c r="C261" s="109" t="s">
        <v>694</v>
      </c>
      <c r="D261" s="109" t="s">
        <v>37</v>
      </c>
      <c r="E261" s="542" t="s">
        <v>2005</v>
      </c>
      <c r="F261" s="543">
        <v>1000018</v>
      </c>
      <c r="G261" s="109" t="s">
        <v>6</v>
      </c>
      <c r="H261" s="546">
        <v>42216</v>
      </c>
      <c r="I261" s="109" t="s">
        <v>1005</v>
      </c>
      <c r="J261" s="109" t="s">
        <v>1005</v>
      </c>
      <c r="K261" s="109" t="s">
        <v>70</v>
      </c>
      <c r="L261" s="543">
        <v>1000018</v>
      </c>
      <c r="M261" s="550">
        <v>42135</v>
      </c>
      <c r="N261" s="1015">
        <v>42254</v>
      </c>
      <c r="O261" s="1006">
        <v>1</v>
      </c>
      <c r="P261" s="1006">
        <v>1</v>
      </c>
      <c r="Q261" s="547" t="s">
        <v>1864</v>
      </c>
    </row>
    <row r="262" spans="1:17">
      <c r="B262" s="554">
        <f>+B253+B249+B221+B208+B203+B196+B191+B126+B113+B110+B99+B94+B84+B64+B9</f>
        <v>8504170566</v>
      </c>
      <c r="P262" s="1222">
        <f>177/179</f>
        <v>0.98882681564245811</v>
      </c>
    </row>
    <row r="263" spans="1:17">
      <c r="A263" s="555" t="s">
        <v>1150</v>
      </c>
    </row>
    <row r="266" spans="1:17">
      <c r="B266" s="1020"/>
    </row>
  </sheetData>
  <autoFilter ref="A6:IV167"/>
  <mergeCells count="19">
    <mergeCell ref="M2:Q4"/>
    <mergeCell ref="A3:L3"/>
    <mergeCell ref="A4:L4"/>
    <mergeCell ref="J5:L5"/>
    <mergeCell ref="M5:Q5"/>
    <mergeCell ref="A2:L2"/>
    <mergeCell ref="A6:A8"/>
    <mergeCell ref="B6:B8"/>
    <mergeCell ref="C6:C8"/>
    <mergeCell ref="D6:D7"/>
    <mergeCell ref="E6:E8"/>
    <mergeCell ref="F6:F8"/>
    <mergeCell ref="G6:G8"/>
    <mergeCell ref="H6:H8"/>
    <mergeCell ref="I6:L6"/>
    <mergeCell ref="M6:Q6"/>
    <mergeCell ref="I7:J7"/>
    <mergeCell ref="K7:L7"/>
    <mergeCell ref="M7:Q7"/>
  </mergeCells>
  <dataValidations count="3">
    <dataValidation type="whole" allowBlank="1" showInputMessage="1" showErrorMessage="1" errorTitle="Valor Asignado" error="Sólo se pueden introducir números en esta celda" promptTitle="Valor Asignado" prompt=" " sqref="B65779:D65785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B131315:D131321 IS65779:IS65785 SO65779:SO65785 ACK65779:ACK65785 AMG65779:AMG65785 AWC65779:AWC65785 BFY65779:BFY65785 BPU65779:BPU65785 BZQ65779:BZQ65785 CJM65779:CJM65785 CTI65779:CTI65785 DDE65779:DDE65785 DNA65779:DNA65785 DWW65779:DWW65785 EGS65779:EGS65785 EQO65779:EQO65785 FAK65779:FAK65785 FKG65779:FKG65785 FUC65779:FUC65785 GDY65779:GDY65785 GNU65779:GNU65785 GXQ65779:GXQ65785 HHM65779:HHM65785 HRI65779:HRI65785 IBE65779:IBE65785 ILA65779:ILA65785 IUW65779:IUW65785 JES65779:JES65785 JOO65779:JOO65785 JYK65779:JYK65785 KIG65779:KIG65785 KSC65779:KSC65785 LBY65779:LBY65785 LLU65779:LLU65785 LVQ65779:LVQ65785 MFM65779:MFM65785 MPI65779:MPI65785 MZE65779:MZE65785 NJA65779:NJA65785 NSW65779:NSW65785 OCS65779:OCS65785 OMO65779:OMO65785 OWK65779:OWK65785 PGG65779:PGG65785 PQC65779:PQC65785 PZY65779:PZY65785 QJU65779:QJU65785 QTQ65779:QTQ65785 RDM65779:RDM65785 RNI65779:RNI65785 RXE65779:RXE65785 SHA65779:SHA65785 SQW65779:SQW65785 TAS65779:TAS65785 TKO65779:TKO65785 TUK65779:TUK65785 UEG65779:UEG65785 UOC65779:UOC65785 UXY65779:UXY65785 VHU65779:VHU65785 VRQ65779:VRQ65785 WBM65779:WBM65785 WLI65779:WLI65785 WVE65779:WVE65785 B196851:D196857 IS131315:IS131321 SO131315:SO131321 ACK131315:ACK131321 AMG131315:AMG131321 AWC131315:AWC131321 BFY131315:BFY131321 BPU131315:BPU131321 BZQ131315:BZQ131321 CJM131315:CJM131321 CTI131315:CTI131321 DDE131315:DDE131321 DNA131315:DNA131321 DWW131315:DWW131321 EGS131315:EGS131321 EQO131315:EQO131321 FAK131315:FAK131321 FKG131315:FKG131321 FUC131315:FUC131321 GDY131315:GDY131321 GNU131315:GNU131321 GXQ131315:GXQ131321 HHM131315:HHM131321 HRI131315:HRI131321 IBE131315:IBE131321 ILA131315:ILA131321 IUW131315:IUW131321 JES131315:JES131321 JOO131315:JOO131321 JYK131315:JYK131321 KIG131315:KIG131321 KSC131315:KSC131321 LBY131315:LBY131321 LLU131315:LLU131321 LVQ131315:LVQ131321 MFM131315:MFM131321 MPI131315:MPI131321 MZE131315:MZE131321 NJA131315:NJA131321 NSW131315:NSW131321 OCS131315:OCS131321 OMO131315:OMO131321 OWK131315:OWK131321 PGG131315:PGG131321 PQC131315:PQC131321 PZY131315:PZY131321 QJU131315:QJU131321 QTQ131315:QTQ131321 RDM131315:RDM131321 RNI131315:RNI131321 RXE131315:RXE131321 SHA131315:SHA131321 SQW131315:SQW131321 TAS131315:TAS131321 TKO131315:TKO131321 TUK131315:TUK131321 UEG131315:UEG131321 UOC131315:UOC131321 UXY131315:UXY131321 VHU131315:VHU131321 VRQ131315:VRQ131321 WBM131315:WBM131321 WLI131315:WLI131321 WVE131315:WVE131321 B262387:D262393 IS196851:IS196857 SO196851:SO196857 ACK196851:ACK196857 AMG196851:AMG196857 AWC196851:AWC196857 BFY196851:BFY196857 BPU196851:BPU196857 BZQ196851:BZQ196857 CJM196851:CJM196857 CTI196851:CTI196857 DDE196851:DDE196857 DNA196851:DNA196857 DWW196851:DWW196857 EGS196851:EGS196857 EQO196851:EQO196857 FAK196851:FAK196857 FKG196851:FKG196857 FUC196851:FUC196857 GDY196851:GDY196857 GNU196851:GNU196857 GXQ196851:GXQ196857 HHM196851:HHM196857 HRI196851:HRI196857 IBE196851:IBE196857 ILA196851:ILA196857 IUW196851:IUW196857 JES196851:JES196857 JOO196851:JOO196857 JYK196851:JYK196857 KIG196851:KIG196857 KSC196851:KSC196857 LBY196851:LBY196857 LLU196851:LLU196857 LVQ196851:LVQ196857 MFM196851:MFM196857 MPI196851:MPI196857 MZE196851:MZE196857 NJA196851:NJA196857 NSW196851:NSW196857 OCS196851:OCS196857 OMO196851:OMO196857 OWK196851:OWK196857 PGG196851:PGG196857 PQC196851:PQC196857 PZY196851:PZY196857 QJU196851:QJU196857 QTQ196851:QTQ196857 RDM196851:RDM196857 RNI196851:RNI196857 RXE196851:RXE196857 SHA196851:SHA196857 SQW196851:SQW196857 TAS196851:TAS196857 TKO196851:TKO196857 TUK196851:TUK196857 UEG196851:UEG196857 UOC196851:UOC196857 UXY196851:UXY196857 VHU196851:VHU196857 VRQ196851:VRQ196857 WBM196851:WBM196857 WLI196851:WLI196857 WVE196851:WVE196857 B327923:D327929 IS262387:IS262393 SO262387:SO262393 ACK262387:ACK262393 AMG262387:AMG262393 AWC262387:AWC262393 BFY262387:BFY262393 BPU262387:BPU262393 BZQ262387:BZQ262393 CJM262387:CJM262393 CTI262387:CTI262393 DDE262387:DDE262393 DNA262387:DNA262393 DWW262387:DWW262393 EGS262387:EGS262393 EQO262387:EQO262393 FAK262387:FAK262393 FKG262387:FKG262393 FUC262387:FUC262393 GDY262387:GDY262393 GNU262387:GNU262393 GXQ262387:GXQ262393 HHM262387:HHM262393 HRI262387:HRI262393 IBE262387:IBE262393 ILA262387:ILA262393 IUW262387:IUW262393 JES262387:JES262393 JOO262387:JOO262393 JYK262387:JYK262393 KIG262387:KIG262393 KSC262387:KSC262393 LBY262387:LBY262393 LLU262387:LLU262393 LVQ262387:LVQ262393 MFM262387:MFM262393 MPI262387:MPI262393 MZE262387:MZE262393 NJA262387:NJA262393 NSW262387:NSW262393 OCS262387:OCS262393 OMO262387:OMO262393 OWK262387:OWK262393 PGG262387:PGG262393 PQC262387:PQC262393 PZY262387:PZY262393 QJU262387:QJU262393 QTQ262387:QTQ262393 RDM262387:RDM262393 RNI262387:RNI262393 RXE262387:RXE262393 SHA262387:SHA262393 SQW262387:SQW262393 TAS262387:TAS262393 TKO262387:TKO262393 TUK262387:TUK262393 UEG262387:UEG262393 UOC262387:UOC262393 UXY262387:UXY262393 VHU262387:VHU262393 VRQ262387:VRQ262393 WBM262387:WBM262393 WLI262387:WLI262393 WVE262387:WVE262393 B393459:D393465 IS327923:IS327929 SO327923:SO327929 ACK327923:ACK327929 AMG327923:AMG327929 AWC327923:AWC327929 BFY327923:BFY327929 BPU327923:BPU327929 BZQ327923:BZQ327929 CJM327923:CJM327929 CTI327923:CTI327929 DDE327923:DDE327929 DNA327923:DNA327929 DWW327923:DWW327929 EGS327923:EGS327929 EQO327923:EQO327929 FAK327923:FAK327929 FKG327923:FKG327929 FUC327923:FUC327929 GDY327923:GDY327929 GNU327923:GNU327929 GXQ327923:GXQ327929 HHM327923:HHM327929 HRI327923:HRI327929 IBE327923:IBE327929 ILA327923:ILA327929 IUW327923:IUW327929 JES327923:JES327929 JOO327923:JOO327929 JYK327923:JYK327929 KIG327923:KIG327929 KSC327923:KSC327929 LBY327923:LBY327929 LLU327923:LLU327929 LVQ327923:LVQ327929 MFM327923:MFM327929 MPI327923:MPI327929 MZE327923:MZE327929 NJA327923:NJA327929 NSW327923:NSW327929 OCS327923:OCS327929 OMO327923:OMO327929 OWK327923:OWK327929 PGG327923:PGG327929 PQC327923:PQC327929 PZY327923:PZY327929 QJU327923:QJU327929 QTQ327923:QTQ327929 RDM327923:RDM327929 RNI327923:RNI327929 RXE327923:RXE327929 SHA327923:SHA327929 SQW327923:SQW327929 TAS327923:TAS327929 TKO327923:TKO327929 TUK327923:TUK327929 UEG327923:UEG327929 UOC327923:UOC327929 UXY327923:UXY327929 VHU327923:VHU327929 VRQ327923:VRQ327929 WBM327923:WBM327929 WLI327923:WLI327929 WVE327923:WVE327929 B458995:D459001 IS393459:IS393465 SO393459:SO393465 ACK393459:ACK393465 AMG393459:AMG393465 AWC393459:AWC393465 BFY393459:BFY393465 BPU393459:BPU393465 BZQ393459:BZQ393465 CJM393459:CJM393465 CTI393459:CTI393465 DDE393459:DDE393465 DNA393459:DNA393465 DWW393459:DWW393465 EGS393459:EGS393465 EQO393459:EQO393465 FAK393459:FAK393465 FKG393459:FKG393465 FUC393459:FUC393465 GDY393459:GDY393465 GNU393459:GNU393465 GXQ393459:GXQ393465 HHM393459:HHM393465 HRI393459:HRI393465 IBE393459:IBE393465 ILA393459:ILA393465 IUW393459:IUW393465 JES393459:JES393465 JOO393459:JOO393465 JYK393459:JYK393465 KIG393459:KIG393465 KSC393459:KSC393465 LBY393459:LBY393465 LLU393459:LLU393465 LVQ393459:LVQ393465 MFM393459:MFM393465 MPI393459:MPI393465 MZE393459:MZE393465 NJA393459:NJA393465 NSW393459:NSW393465 OCS393459:OCS393465 OMO393459:OMO393465 OWK393459:OWK393465 PGG393459:PGG393465 PQC393459:PQC393465 PZY393459:PZY393465 QJU393459:QJU393465 QTQ393459:QTQ393465 RDM393459:RDM393465 RNI393459:RNI393465 RXE393459:RXE393465 SHA393459:SHA393465 SQW393459:SQW393465 TAS393459:TAS393465 TKO393459:TKO393465 TUK393459:TUK393465 UEG393459:UEG393465 UOC393459:UOC393465 UXY393459:UXY393465 VHU393459:VHU393465 VRQ393459:VRQ393465 WBM393459:WBM393465 WLI393459:WLI393465 WVE393459:WVE393465 B524531:D524537 IS458995:IS459001 SO458995:SO459001 ACK458995:ACK459001 AMG458995:AMG459001 AWC458995:AWC459001 BFY458995:BFY459001 BPU458995:BPU459001 BZQ458995:BZQ459001 CJM458995:CJM459001 CTI458995:CTI459001 DDE458995:DDE459001 DNA458995:DNA459001 DWW458995:DWW459001 EGS458995:EGS459001 EQO458995:EQO459001 FAK458995:FAK459001 FKG458995:FKG459001 FUC458995:FUC459001 GDY458995:GDY459001 GNU458995:GNU459001 GXQ458995:GXQ459001 HHM458995:HHM459001 HRI458995:HRI459001 IBE458995:IBE459001 ILA458995:ILA459001 IUW458995:IUW459001 JES458995:JES459001 JOO458995:JOO459001 JYK458995:JYK459001 KIG458995:KIG459001 KSC458995:KSC459001 LBY458995:LBY459001 LLU458995:LLU459001 LVQ458995:LVQ459001 MFM458995:MFM459001 MPI458995:MPI459001 MZE458995:MZE459001 NJA458995:NJA459001 NSW458995:NSW459001 OCS458995:OCS459001 OMO458995:OMO459001 OWK458995:OWK459001 PGG458995:PGG459001 PQC458995:PQC459001 PZY458995:PZY459001 QJU458995:QJU459001 QTQ458995:QTQ459001 RDM458995:RDM459001 RNI458995:RNI459001 RXE458995:RXE459001 SHA458995:SHA459001 SQW458995:SQW459001 TAS458995:TAS459001 TKO458995:TKO459001 TUK458995:TUK459001 UEG458995:UEG459001 UOC458995:UOC459001 UXY458995:UXY459001 VHU458995:VHU459001 VRQ458995:VRQ459001 WBM458995:WBM459001 WLI458995:WLI459001 WVE458995:WVE459001 B590067:D590073 IS524531:IS524537 SO524531:SO524537 ACK524531:ACK524537 AMG524531:AMG524537 AWC524531:AWC524537 BFY524531:BFY524537 BPU524531:BPU524537 BZQ524531:BZQ524537 CJM524531:CJM524537 CTI524531:CTI524537 DDE524531:DDE524537 DNA524531:DNA524537 DWW524531:DWW524537 EGS524531:EGS524537 EQO524531:EQO524537 FAK524531:FAK524537 FKG524531:FKG524537 FUC524531:FUC524537 GDY524531:GDY524537 GNU524531:GNU524537 GXQ524531:GXQ524537 HHM524531:HHM524537 HRI524531:HRI524537 IBE524531:IBE524537 ILA524531:ILA524537 IUW524531:IUW524537 JES524531:JES524537 JOO524531:JOO524537 JYK524531:JYK524537 KIG524531:KIG524537 KSC524531:KSC524537 LBY524531:LBY524537 LLU524531:LLU524537 LVQ524531:LVQ524537 MFM524531:MFM524537 MPI524531:MPI524537 MZE524531:MZE524537 NJA524531:NJA524537 NSW524531:NSW524537 OCS524531:OCS524537 OMO524531:OMO524537 OWK524531:OWK524537 PGG524531:PGG524537 PQC524531:PQC524537 PZY524531:PZY524537 QJU524531:QJU524537 QTQ524531:QTQ524537 RDM524531:RDM524537 RNI524531:RNI524537 RXE524531:RXE524537 SHA524531:SHA524537 SQW524531:SQW524537 TAS524531:TAS524537 TKO524531:TKO524537 TUK524531:TUK524537 UEG524531:UEG524537 UOC524531:UOC524537 UXY524531:UXY524537 VHU524531:VHU524537 VRQ524531:VRQ524537 WBM524531:WBM524537 WLI524531:WLI524537 WVE524531:WVE524537 B655603:D655609 IS590067:IS590073 SO590067:SO590073 ACK590067:ACK590073 AMG590067:AMG590073 AWC590067:AWC590073 BFY590067:BFY590073 BPU590067:BPU590073 BZQ590067:BZQ590073 CJM590067:CJM590073 CTI590067:CTI590073 DDE590067:DDE590073 DNA590067:DNA590073 DWW590067:DWW590073 EGS590067:EGS590073 EQO590067:EQO590073 FAK590067:FAK590073 FKG590067:FKG590073 FUC590067:FUC590073 GDY590067:GDY590073 GNU590067:GNU590073 GXQ590067:GXQ590073 HHM590067:HHM590073 HRI590067:HRI590073 IBE590067:IBE590073 ILA590067:ILA590073 IUW590067:IUW590073 JES590067:JES590073 JOO590067:JOO590073 JYK590067:JYK590073 KIG590067:KIG590073 KSC590067:KSC590073 LBY590067:LBY590073 LLU590067:LLU590073 LVQ590067:LVQ590073 MFM590067:MFM590073 MPI590067:MPI590073 MZE590067:MZE590073 NJA590067:NJA590073 NSW590067:NSW590073 OCS590067:OCS590073 OMO590067:OMO590073 OWK590067:OWK590073 PGG590067:PGG590073 PQC590067:PQC590073 PZY590067:PZY590073 QJU590067:QJU590073 QTQ590067:QTQ590073 RDM590067:RDM590073 RNI590067:RNI590073 RXE590067:RXE590073 SHA590067:SHA590073 SQW590067:SQW590073 TAS590067:TAS590073 TKO590067:TKO590073 TUK590067:TUK590073 UEG590067:UEG590073 UOC590067:UOC590073 UXY590067:UXY590073 VHU590067:VHU590073 VRQ590067:VRQ590073 WBM590067:WBM590073 WLI590067:WLI590073 WVE590067:WVE590073 B721139:D721145 IS655603:IS655609 SO655603:SO655609 ACK655603:ACK655609 AMG655603:AMG655609 AWC655603:AWC655609 BFY655603:BFY655609 BPU655603:BPU655609 BZQ655603:BZQ655609 CJM655603:CJM655609 CTI655603:CTI655609 DDE655603:DDE655609 DNA655603:DNA655609 DWW655603:DWW655609 EGS655603:EGS655609 EQO655603:EQO655609 FAK655603:FAK655609 FKG655603:FKG655609 FUC655603:FUC655609 GDY655603:GDY655609 GNU655603:GNU655609 GXQ655603:GXQ655609 HHM655603:HHM655609 HRI655603:HRI655609 IBE655603:IBE655609 ILA655603:ILA655609 IUW655603:IUW655609 JES655603:JES655609 JOO655603:JOO655609 JYK655603:JYK655609 KIG655603:KIG655609 KSC655603:KSC655609 LBY655603:LBY655609 LLU655603:LLU655609 LVQ655603:LVQ655609 MFM655603:MFM655609 MPI655603:MPI655609 MZE655603:MZE655609 NJA655603:NJA655609 NSW655603:NSW655609 OCS655603:OCS655609 OMO655603:OMO655609 OWK655603:OWK655609 PGG655603:PGG655609 PQC655603:PQC655609 PZY655603:PZY655609 QJU655603:QJU655609 QTQ655603:QTQ655609 RDM655603:RDM655609 RNI655603:RNI655609 RXE655603:RXE655609 SHA655603:SHA655609 SQW655603:SQW655609 TAS655603:TAS655609 TKO655603:TKO655609 TUK655603:TUK655609 UEG655603:UEG655609 UOC655603:UOC655609 UXY655603:UXY655609 VHU655603:VHU655609 VRQ655603:VRQ655609 WBM655603:WBM655609 WLI655603:WLI655609 WVE655603:WVE655609 B786675:D786681 IS721139:IS721145 SO721139:SO721145 ACK721139:ACK721145 AMG721139:AMG721145 AWC721139:AWC721145 BFY721139:BFY721145 BPU721139:BPU721145 BZQ721139:BZQ721145 CJM721139:CJM721145 CTI721139:CTI721145 DDE721139:DDE721145 DNA721139:DNA721145 DWW721139:DWW721145 EGS721139:EGS721145 EQO721139:EQO721145 FAK721139:FAK721145 FKG721139:FKG721145 FUC721139:FUC721145 GDY721139:GDY721145 GNU721139:GNU721145 GXQ721139:GXQ721145 HHM721139:HHM721145 HRI721139:HRI721145 IBE721139:IBE721145 ILA721139:ILA721145 IUW721139:IUW721145 JES721139:JES721145 JOO721139:JOO721145 JYK721139:JYK721145 KIG721139:KIG721145 KSC721139:KSC721145 LBY721139:LBY721145 LLU721139:LLU721145 LVQ721139:LVQ721145 MFM721139:MFM721145 MPI721139:MPI721145 MZE721139:MZE721145 NJA721139:NJA721145 NSW721139:NSW721145 OCS721139:OCS721145 OMO721139:OMO721145 OWK721139:OWK721145 PGG721139:PGG721145 PQC721139:PQC721145 PZY721139:PZY721145 QJU721139:QJU721145 QTQ721139:QTQ721145 RDM721139:RDM721145 RNI721139:RNI721145 RXE721139:RXE721145 SHA721139:SHA721145 SQW721139:SQW721145 TAS721139:TAS721145 TKO721139:TKO721145 TUK721139:TUK721145 UEG721139:UEG721145 UOC721139:UOC721145 UXY721139:UXY721145 VHU721139:VHU721145 VRQ721139:VRQ721145 WBM721139:WBM721145 WLI721139:WLI721145 WVE721139:WVE721145 B852211:D852217 IS786675:IS786681 SO786675:SO786681 ACK786675:ACK786681 AMG786675:AMG786681 AWC786675:AWC786681 BFY786675:BFY786681 BPU786675:BPU786681 BZQ786675:BZQ786681 CJM786675:CJM786681 CTI786675:CTI786681 DDE786675:DDE786681 DNA786675:DNA786681 DWW786675:DWW786681 EGS786675:EGS786681 EQO786675:EQO786681 FAK786675:FAK786681 FKG786675:FKG786681 FUC786675:FUC786681 GDY786675:GDY786681 GNU786675:GNU786681 GXQ786675:GXQ786681 HHM786675:HHM786681 HRI786675:HRI786681 IBE786675:IBE786681 ILA786675:ILA786681 IUW786675:IUW786681 JES786675:JES786681 JOO786675:JOO786681 JYK786675:JYK786681 KIG786675:KIG786681 KSC786675:KSC786681 LBY786675:LBY786681 LLU786675:LLU786681 LVQ786675:LVQ786681 MFM786675:MFM786681 MPI786675:MPI786681 MZE786675:MZE786681 NJA786675:NJA786681 NSW786675:NSW786681 OCS786675:OCS786681 OMO786675:OMO786681 OWK786675:OWK786681 PGG786675:PGG786681 PQC786675:PQC786681 PZY786675:PZY786681 QJU786675:QJU786681 QTQ786675:QTQ786681 RDM786675:RDM786681 RNI786675:RNI786681 RXE786675:RXE786681 SHA786675:SHA786681 SQW786675:SQW786681 TAS786675:TAS786681 TKO786675:TKO786681 TUK786675:TUK786681 UEG786675:UEG786681 UOC786675:UOC786681 UXY786675:UXY786681 VHU786675:VHU786681 VRQ786675:VRQ786681 WBM786675:WBM786681 WLI786675:WLI786681 WVE786675:WVE786681 B917747:D917753 IS852211:IS852217 SO852211:SO852217 ACK852211:ACK852217 AMG852211:AMG852217 AWC852211:AWC852217 BFY852211:BFY852217 BPU852211:BPU852217 BZQ852211:BZQ852217 CJM852211:CJM852217 CTI852211:CTI852217 DDE852211:DDE852217 DNA852211:DNA852217 DWW852211:DWW852217 EGS852211:EGS852217 EQO852211:EQO852217 FAK852211:FAK852217 FKG852211:FKG852217 FUC852211:FUC852217 GDY852211:GDY852217 GNU852211:GNU852217 GXQ852211:GXQ852217 HHM852211:HHM852217 HRI852211:HRI852217 IBE852211:IBE852217 ILA852211:ILA852217 IUW852211:IUW852217 JES852211:JES852217 JOO852211:JOO852217 JYK852211:JYK852217 KIG852211:KIG852217 KSC852211:KSC852217 LBY852211:LBY852217 LLU852211:LLU852217 LVQ852211:LVQ852217 MFM852211:MFM852217 MPI852211:MPI852217 MZE852211:MZE852217 NJA852211:NJA852217 NSW852211:NSW852217 OCS852211:OCS852217 OMO852211:OMO852217 OWK852211:OWK852217 PGG852211:PGG852217 PQC852211:PQC852217 PZY852211:PZY852217 QJU852211:QJU852217 QTQ852211:QTQ852217 RDM852211:RDM852217 RNI852211:RNI852217 RXE852211:RXE852217 SHA852211:SHA852217 SQW852211:SQW852217 TAS852211:TAS852217 TKO852211:TKO852217 TUK852211:TUK852217 UEG852211:UEG852217 UOC852211:UOC852217 UXY852211:UXY852217 VHU852211:VHU852217 VRQ852211:VRQ852217 WBM852211:WBM852217 WLI852211:WLI852217 WVE852211:WVE852217 B983283:D983289 IS917747:IS917753 SO917747:SO917753 ACK917747:ACK917753 AMG917747:AMG917753 AWC917747:AWC917753 BFY917747:BFY917753 BPU917747:BPU917753 BZQ917747:BZQ917753 CJM917747:CJM917753 CTI917747:CTI917753 DDE917747:DDE917753 DNA917747:DNA917753 DWW917747:DWW917753 EGS917747:EGS917753 EQO917747:EQO917753 FAK917747:FAK917753 FKG917747:FKG917753 FUC917747:FUC917753 GDY917747:GDY917753 GNU917747:GNU917753 GXQ917747:GXQ917753 HHM917747:HHM917753 HRI917747:HRI917753 IBE917747:IBE917753 ILA917747:ILA917753 IUW917747:IUW917753 JES917747:JES917753 JOO917747:JOO917753 JYK917747:JYK917753 KIG917747:KIG917753 KSC917747:KSC917753 LBY917747:LBY917753 LLU917747:LLU917753 LVQ917747:LVQ917753 MFM917747:MFM917753 MPI917747:MPI917753 MZE917747:MZE917753 NJA917747:NJA917753 NSW917747:NSW917753 OCS917747:OCS917753 OMO917747:OMO917753 OWK917747:OWK917753 PGG917747:PGG917753 PQC917747:PQC917753 PZY917747:PZY917753 QJU917747:QJU917753 QTQ917747:QTQ917753 RDM917747:RDM917753 RNI917747:RNI917753 RXE917747:RXE917753 SHA917747:SHA917753 SQW917747:SQW917753 TAS917747:TAS917753 TKO917747:TKO917753 TUK917747:TUK917753 UEG917747:UEG917753 UOC917747:UOC917753 UXY917747:UXY917753 VHU917747:VHU917753 VRQ917747:VRQ917753 WBM917747:WBM917753 WLI917747:WLI917753 WVE917747:WVE917753 WVE983283:WVE983289 IS983283:IS983289 SO983283:SO983289 ACK983283:ACK983289 AMG983283:AMG983289 AWC983283:AWC983289 BFY983283:BFY983289 BPU983283:BPU983289 BZQ983283:BZQ983289 CJM983283:CJM983289 CTI983283:CTI983289 DDE983283:DDE983289 DNA983283:DNA983289 DWW983283:DWW983289 EGS983283:EGS983289 EQO983283:EQO983289 FAK983283:FAK983289 FKG983283:FKG983289 FUC983283:FUC983289 GDY983283:GDY983289 GNU983283:GNU983289 GXQ983283:GXQ983289 HHM983283:HHM983289 HRI983283:HRI983289 IBE983283:IBE983289 ILA983283:ILA983289 IUW983283:IUW983289 JES983283:JES983289 JOO983283:JOO983289 JYK983283:JYK983289 KIG983283:KIG983289 KSC983283:KSC983289 LBY983283:LBY983289 LLU983283:LLU983289 LVQ983283:LVQ983289 MFM983283:MFM983289 MPI983283:MPI983289 MZE983283:MZE983289 NJA983283:NJA983289 NSW983283:NSW983289 OCS983283:OCS983289 OMO983283:OMO983289 OWK983283:OWK983289 PGG983283:PGG983289 PQC983283:PQC983289 PZY983283:PZY983289 QJU983283:QJU983289 QTQ983283:QTQ983289 RDM983283:RDM983289 RNI983283:RNI983289 RXE983283:RXE983289 SHA983283:SHA983289 SQW983283:SQW983289 TAS983283:TAS983289 TKO983283:TKO983289 TUK983283:TUK983289 UEG983283:UEG983289 UOC983283:UOC983289 UXY983283:UXY983289 VHU983283:VHU983289 VRQ983283:VRQ983289 WBM983283:WBM983289 WLI983283:WLI983289 B7:C7">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T65781:IT65785 SP65781:SP65785 ACL65781:ACL65785 AMH65781:AMH65785 AWD65781:AWD65785 BFZ65781:BFZ65785 BPV65781:BPV65785 BZR65781:BZR65785 CJN65781:CJN65785 CTJ65781:CTJ65785 DDF65781:DDF65785 DNB65781:DNB65785 DWX65781:DWX65785 EGT65781:EGT65785 EQP65781:EQP65785 FAL65781:FAL65785 FKH65781:FKH65785 FUD65781:FUD65785 GDZ65781:GDZ65785 GNV65781:GNV65785 GXR65781:GXR65785 HHN65781:HHN65785 HRJ65781:HRJ65785 IBF65781:IBF65785 ILB65781:ILB65785 IUX65781:IUX65785 JET65781:JET65785 JOP65781:JOP65785 JYL65781:JYL65785 KIH65781:KIH65785 KSD65781:KSD65785 LBZ65781:LBZ65785 LLV65781:LLV65785 LVR65781:LVR65785 MFN65781:MFN65785 MPJ65781:MPJ65785 MZF65781:MZF65785 NJB65781:NJB65785 NSX65781:NSX65785 OCT65781:OCT65785 OMP65781:OMP65785 OWL65781:OWL65785 PGH65781:PGH65785 PQD65781:PQD65785 PZZ65781:PZZ65785 QJV65781:QJV65785 QTR65781:QTR65785 RDN65781:RDN65785 RNJ65781:RNJ65785 RXF65781:RXF65785 SHB65781:SHB65785 SQX65781:SQX65785 TAT65781:TAT65785 TKP65781:TKP65785 TUL65781:TUL65785 UEH65781:UEH65785 UOD65781:UOD65785 UXZ65781:UXZ65785 VHV65781:VHV65785 VRR65781:VRR65785 WBN65781:WBN65785 WLJ65781:WLJ65785 WVF65781:WVF65785 IT131317:IT131321 SP131317:SP131321 ACL131317:ACL131321 AMH131317:AMH131321 AWD131317:AWD131321 BFZ131317:BFZ131321 BPV131317:BPV131321 BZR131317:BZR131321 CJN131317:CJN131321 CTJ131317:CTJ131321 DDF131317:DDF131321 DNB131317:DNB131321 DWX131317:DWX131321 EGT131317:EGT131321 EQP131317:EQP131321 FAL131317:FAL131321 FKH131317:FKH131321 FUD131317:FUD131321 GDZ131317:GDZ131321 GNV131317:GNV131321 GXR131317:GXR131321 HHN131317:HHN131321 HRJ131317:HRJ131321 IBF131317:IBF131321 ILB131317:ILB131321 IUX131317:IUX131321 JET131317:JET131321 JOP131317:JOP131321 JYL131317:JYL131321 KIH131317:KIH131321 KSD131317:KSD131321 LBZ131317:LBZ131321 LLV131317:LLV131321 LVR131317:LVR131321 MFN131317:MFN131321 MPJ131317:MPJ131321 MZF131317:MZF131321 NJB131317:NJB131321 NSX131317:NSX131321 OCT131317:OCT131321 OMP131317:OMP131321 OWL131317:OWL131321 PGH131317:PGH131321 PQD131317:PQD131321 PZZ131317:PZZ131321 QJV131317:QJV131321 QTR131317:QTR131321 RDN131317:RDN131321 RNJ131317:RNJ131321 RXF131317:RXF131321 SHB131317:SHB131321 SQX131317:SQX131321 TAT131317:TAT131321 TKP131317:TKP131321 TUL131317:TUL131321 UEH131317:UEH131321 UOD131317:UOD131321 UXZ131317:UXZ131321 VHV131317:VHV131321 VRR131317:VRR131321 WBN131317:WBN131321 WLJ131317:WLJ131321 WVF131317:WVF131321 IT196853:IT196857 SP196853:SP196857 ACL196853:ACL196857 AMH196853:AMH196857 AWD196853:AWD196857 BFZ196853:BFZ196857 BPV196853:BPV196857 BZR196853:BZR196857 CJN196853:CJN196857 CTJ196853:CTJ196857 DDF196853:DDF196857 DNB196853:DNB196857 DWX196853:DWX196857 EGT196853:EGT196857 EQP196853:EQP196857 FAL196853:FAL196857 FKH196853:FKH196857 FUD196853:FUD196857 GDZ196853:GDZ196857 GNV196853:GNV196857 GXR196853:GXR196857 HHN196853:HHN196857 HRJ196853:HRJ196857 IBF196853:IBF196857 ILB196853:ILB196857 IUX196853:IUX196857 JET196853:JET196857 JOP196853:JOP196857 JYL196853:JYL196857 KIH196853:KIH196857 KSD196853:KSD196857 LBZ196853:LBZ196857 LLV196853:LLV196857 LVR196853:LVR196857 MFN196853:MFN196857 MPJ196853:MPJ196857 MZF196853:MZF196857 NJB196853:NJB196857 NSX196853:NSX196857 OCT196853:OCT196857 OMP196853:OMP196857 OWL196853:OWL196857 PGH196853:PGH196857 PQD196853:PQD196857 PZZ196853:PZZ196857 QJV196853:QJV196857 QTR196853:QTR196857 RDN196853:RDN196857 RNJ196853:RNJ196857 RXF196853:RXF196857 SHB196853:SHB196857 SQX196853:SQX196857 TAT196853:TAT196857 TKP196853:TKP196857 TUL196853:TUL196857 UEH196853:UEH196857 UOD196853:UOD196857 UXZ196853:UXZ196857 VHV196853:VHV196857 VRR196853:VRR196857 WBN196853:WBN196857 WLJ196853:WLJ196857 WVF196853:WVF196857 IT262389:IT262393 SP262389:SP262393 ACL262389:ACL262393 AMH262389:AMH262393 AWD262389:AWD262393 BFZ262389:BFZ262393 BPV262389:BPV262393 BZR262389:BZR262393 CJN262389:CJN262393 CTJ262389:CTJ262393 DDF262389:DDF262393 DNB262389:DNB262393 DWX262389:DWX262393 EGT262389:EGT262393 EQP262389:EQP262393 FAL262389:FAL262393 FKH262389:FKH262393 FUD262389:FUD262393 GDZ262389:GDZ262393 GNV262389:GNV262393 GXR262389:GXR262393 HHN262389:HHN262393 HRJ262389:HRJ262393 IBF262389:IBF262393 ILB262389:ILB262393 IUX262389:IUX262393 JET262389:JET262393 JOP262389:JOP262393 JYL262389:JYL262393 KIH262389:KIH262393 KSD262389:KSD262393 LBZ262389:LBZ262393 LLV262389:LLV262393 LVR262389:LVR262393 MFN262389:MFN262393 MPJ262389:MPJ262393 MZF262389:MZF262393 NJB262389:NJB262393 NSX262389:NSX262393 OCT262389:OCT262393 OMP262389:OMP262393 OWL262389:OWL262393 PGH262389:PGH262393 PQD262389:PQD262393 PZZ262389:PZZ262393 QJV262389:QJV262393 QTR262389:QTR262393 RDN262389:RDN262393 RNJ262389:RNJ262393 RXF262389:RXF262393 SHB262389:SHB262393 SQX262389:SQX262393 TAT262389:TAT262393 TKP262389:TKP262393 TUL262389:TUL262393 UEH262389:UEH262393 UOD262389:UOD262393 UXZ262389:UXZ262393 VHV262389:VHV262393 VRR262389:VRR262393 WBN262389:WBN262393 WLJ262389:WLJ262393 WVF262389:WVF262393 IT327925:IT327929 SP327925:SP327929 ACL327925:ACL327929 AMH327925:AMH327929 AWD327925:AWD327929 BFZ327925:BFZ327929 BPV327925:BPV327929 BZR327925:BZR327929 CJN327925:CJN327929 CTJ327925:CTJ327929 DDF327925:DDF327929 DNB327925:DNB327929 DWX327925:DWX327929 EGT327925:EGT327929 EQP327925:EQP327929 FAL327925:FAL327929 FKH327925:FKH327929 FUD327925:FUD327929 GDZ327925:GDZ327929 GNV327925:GNV327929 GXR327925:GXR327929 HHN327925:HHN327929 HRJ327925:HRJ327929 IBF327925:IBF327929 ILB327925:ILB327929 IUX327925:IUX327929 JET327925:JET327929 JOP327925:JOP327929 JYL327925:JYL327929 KIH327925:KIH327929 KSD327925:KSD327929 LBZ327925:LBZ327929 LLV327925:LLV327929 LVR327925:LVR327929 MFN327925:MFN327929 MPJ327925:MPJ327929 MZF327925:MZF327929 NJB327925:NJB327929 NSX327925:NSX327929 OCT327925:OCT327929 OMP327925:OMP327929 OWL327925:OWL327929 PGH327925:PGH327929 PQD327925:PQD327929 PZZ327925:PZZ327929 QJV327925:QJV327929 QTR327925:QTR327929 RDN327925:RDN327929 RNJ327925:RNJ327929 RXF327925:RXF327929 SHB327925:SHB327929 SQX327925:SQX327929 TAT327925:TAT327929 TKP327925:TKP327929 TUL327925:TUL327929 UEH327925:UEH327929 UOD327925:UOD327929 UXZ327925:UXZ327929 VHV327925:VHV327929 VRR327925:VRR327929 WBN327925:WBN327929 WLJ327925:WLJ327929 WVF327925:WVF327929 IT393461:IT393465 SP393461:SP393465 ACL393461:ACL393465 AMH393461:AMH393465 AWD393461:AWD393465 BFZ393461:BFZ393465 BPV393461:BPV393465 BZR393461:BZR393465 CJN393461:CJN393465 CTJ393461:CTJ393465 DDF393461:DDF393465 DNB393461:DNB393465 DWX393461:DWX393465 EGT393461:EGT393465 EQP393461:EQP393465 FAL393461:FAL393465 FKH393461:FKH393465 FUD393461:FUD393465 GDZ393461:GDZ393465 GNV393461:GNV393465 GXR393461:GXR393465 HHN393461:HHN393465 HRJ393461:HRJ393465 IBF393461:IBF393465 ILB393461:ILB393465 IUX393461:IUX393465 JET393461:JET393465 JOP393461:JOP393465 JYL393461:JYL393465 KIH393461:KIH393465 KSD393461:KSD393465 LBZ393461:LBZ393465 LLV393461:LLV393465 LVR393461:LVR393465 MFN393461:MFN393465 MPJ393461:MPJ393465 MZF393461:MZF393465 NJB393461:NJB393465 NSX393461:NSX393465 OCT393461:OCT393465 OMP393461:OMP393465 OWL393461:OWL393465 PGH393461:PGH393465 PQD393461:PQD393465 PZZ393461:PZZ393465 QJV393461:QJV393465 QTR393461:QTR393465 RDN393461:RDN393465 RNJ393461:RNJ393465 RXF393461:RXF393465 SHB393461:SHB393465 SQX393461:SQX393465 TAT393461:TAT393465 TKP393461:TKP393465 TUL393461:TUL393465 UEH393461:UEH393465 UOD393461:UOD393465 UXZ393461:UXZ393465 VHV393461:VHV393465 VRR393461:VRR393465 WBN393461:WBN393465 WLJ393461:WLJ393465 WVF393461:WVF393465 IT458997:IT459001 SP458997:SP459001 ACL458997:ACL459001 AMH458997:AMH459001 AWD458997:AWD459001 BFZ458997:BFZ459001 BPV458997:BPV459001 BZR458997:BZR459001 CJN458997:CJN459001 CTJ458997:CTJ459001 DDF458997:DDF459001 DNB458997:DNB459001 DWX458997:DWX459001 EGT458997:EGT459001 EQP458997:EQP459001 FAL458997:FAL459001 FKH458997:FKH459001 FUD458997:FUD459001 GDZ458997:GDZ459001 GNV458997:GNV459001 GXR458997:GXR459001 HHN458997:HHN459001 HRJ458997:HRJ459001 IBF458997:IBF459001 ILB458997:ILB459001 IUX458997:IUX459001 JET458997:JET459001 JOP458997:JOP459001 JYL458997:JYL459001 KIH458997:KIH459001 KSD458997:KSD459001 LBZ458997:LBZ459001 LLV458997:LLV459001 LVR458997:LVR459001 MFN458997:MFN459001 MPJ458997:MPJ459001 MZF458997:MZF459001 NJB458997:NJB459001 NSX458997:NSX459001 OCT458997:OCT459001 OMP458997:OMP459001 OWL458997:OWL459001 PGH458997:PGH459001 PQD458997:PQD459001 PZZ458997:PZZ459001 QJV458997:QJV459001 QTR458997:QTR459001 RDN458997:RDN459001 RNJ458997:RNJ459001 RXF458997:RXF459001 SHB458997:SHB459001 SQX458997:SQX459001 TAT458997:TAT459001 TKP458997:TKP459001 TUL458997:TUL459001 UEH458997:UEH459001 UOD458997:UOD459001 UXZ458997:UXZ459001 VHV458997:VHV459001 VRR458997:VRR459001 WBN458997:WBN459001 WLJ458997:WLJ459001 WVF458997:WVF459001 IT524533:IT524537 SP524533:SP524537 ACL524533:ACL524537 AMH524533:AMH524537 AWD524533:AWD524537 BFZ524533:BFZ524537 BPV524533:BPV524537 BZR524533:BZR524537 CJN524533:CJN524537 CTJ524533:CTJ524537 DDF524533:DDF524537 DNB524533:DNB524537 DWX524533:DWX524537 EGT524533:EGT524537 EQP524533:EQP524537 FAL524533:FAL524537 FKH524533:FKH524537 FUD524533:FUD524537 GDZ524533:GDZ524537 GNV524533:GNV524537 GXR524533:GXR524537 HHN524533:HHN524537 HRJ524533:HRJ524537 IBF524533:IBF524537 ILB524533:ILB524537 IUX524533:IUX524537 JET524533:JET524537 JOP524533:JOP524537 JYL524533:JYL524537 KIH524533:KIH524537 KSD524533:KSD524537 LBZ524533:LBZ524537 LLV524533:LLV524537 LVR524533:LVR524537 MFN524533:MFN524537 MPJ524533:MPJ524537 MZF524533:MZF524537 NJB524533:NJB524537 NSX524533:NSX524537 OCT524533:OCT524537 OMP524533:OMP524537 OWL524533:OWL524537 PGH524533:PGH524537 PQD524533:PQD524537 PZZ524533:PZZ524537 QJV524533:QJV524537 QTR524533:QTR524537 RDN524533:RDN524537 RNJ524533:RNJ524537 RXF524533:RXF524537 SHB524533:SHB524537 SQX524533:SQX524537 TAT524533:TAT524537 TKP524533:TKP524537 TUL524533:TUL524537 UEH524533:UEH524537 UOD524533:UOD524537 UXZ524533:UXZ524537 VHV524533:VHV524537 VRR524533:VRR524537 WBN524533:WBN524537 WLJ524533:WLJ524537 WVF524533:WVF524537 IT590069:IT590073 SP590069:SP590073 ACL590069:ACL590073 AMH590069:AMH590073 AWD590069:AWD590073 BFZ590069:BFZ590073 BPV590069:BPV590073 BZR590069:BZR590073 CJN590069:CJN590073 CTJ590069:CTJ590073 DDF590069:DDF590073 DNB590069:DNB590073 DWX590069:DWX590073 EGT590069:EGT590073 EQP590069:EQP590073 FAL590069:FAL590073 FKH590069:FKH590073 FUD590069:FUD590073 GDZ590069:GDZ590073 GNV590069:GNV590073 GXR590069:GXR590073 HHN590069:HHN590073 HRJ590069:HRJ590073 IBF590069:IBF590073 ILB590069:ILB590073 IUX590069:IUX590073 JET590069:JET590073 JOP590069:JOP590073 JYL590069:JYL590073 KIH590069:KIH590073 KSD590069:KSD590073 LBZ590069:LBZ590073 LLV590069:LLV590073 LVR590069:LVR590073 MFN590069:MFN590073 MPJ590069:MPJ590073 MZF590069:MZF590073 NJB590069:NJB590073 NSX590069:NSX590073 OCT590069:OCT590073 OMP590069:OMP590073 OWL590069:OWL590073 PGH590069:PGH590073 PQD590069:PQD590073 PZZ590069:PZZ590073 QJV590069:QJV590073 QTR590069:QTR590073 RDN590069:RDN590073 RNJ590069:RNJ590073 RXF590069:RXF590073 SHB590069:SHB590073 SQX590069:SQX590073 TAT590069:TAT590073 TKP590069:TKP590073 TUL590069:TUL590073 UEH590069:UEH590073 UOD590069:UOD590073 UXZ590069:UXZ590073 VHV590069:VHV590073 VRR590069:VRR590073 WBN590069:WBN590073 WLJ590069:WLJ590073 WVF590069:WVF590073 IT655605:IT655609 SP655605:SP655609 ACL655605:ACL655609 AMH655605:AMH655609 AWD655605:AWD655609 BFZ655605:BFZ655609 BPV655605:BPV655609 BZR655605:BZR655609 CJN655605:CJN655609 CTJ655605:CTJ655609 DDF655605:DDF655609 DNB655605:DNB655609 DWX655605:DWX655609 EGT655605:EGT655609 EQP655605:EQP655609 FAL655605:FAL655609 FKH655605:FKH655609 FUD655605:FUD655609 GDZ655605:GDZ655609 GNV655605:GNV655609 GXR655605:GXR655609 HHN655605:HHN655609 HRJ655605:HRJ655609 IBF655605:IBF655609 ILB655605:ILB655609 IUX655605:IUX655609 JET655605:JET655609 JOP655605:JOP655609 JYL655605:JYL655609 KIH655605:KIH655609 KSD655605:KSD655609 LBZ655605:LBZ655609 LLV655605:LLV655609 LVR655605:LVR655609 MFN655605:MFN655609 MPJ655605:MPJ655609 MZF655605:MZF655609 NJB655605:NJB655609 NSX655605:NSX655609 OCT655605:OCT655609 OMP655605:OMP655609 OWL655605:OWL655609 PGH655605:PGH655609 PQD655605:PQD655609 PZZ655605:PZZ655609 QJV655605:QJV655609 QTR655605:QTR655609 RDN655605:RDN655609 RNJ655605:RNJ655609 RXF655605:RXF655609 SHB655605:SHB655609 SQX655605:SQX655609 TAT655605:TAT655609 TKP655605:TKP655609 TUL655605:TUL655609 UEH655605:UEH655609 UOD655605:UOD655609 UXZ655605:UXZ655609 VHV655605:VHV655609 VRR655605:VRR655609 WBN655605:WBN655609 WLJ655605:WLJ655609 WVF655605:WVF655609 IT721141:IT721145 SP721141:SP721145 ACL721141:ACL721145 AMH721141:AMH721145 AWD721141:AWD721145 BFZ721141:BFZ721145 BPV721141:BPV721145 BZR721141:BZR721145 CJN721141:CJN721145 CTJ721141:CTJ721145 DDF721141:DDF721145 DNB721141:DNB721145 DWX721141:DWX721145 EGT721141:EGT721145 EQP721141:EQP721145 FAL721141:FAL721145 FKH721141:FKH721145 FUD721141:FUD721145 GDZ721141:GDZ721145 GNV721141:GNV721145 GXR721141:GXR721145 HHN721141:HHN721145 HRJ721141:HRJ721145 IBF721141:IBF721145 ILB721141:ILB721145 IUX721141:IUX721145 JET721141:JET721145 JOP721141:JOP721145 JYL721141:JYL721145 KIH721141:KIH721145 KSD721141:KSD721145 LBZ721141:LBZ721145 LLV721141:LLV721145 LVR721141:LVR721145 MFN721141:MFN721145 MPJ721141:MPJ721145 MZF721141:MZF721145 NJB721141:NJB721145 NSX721141:NSX721145 OCT721141:OCT721145 OMP721141:OMP721145 OWL721141:OWL721145 PGH721141:PGH721145 PQD721141:PQD721145 PZZ721141:PZZ721145 QJV721141:QJV721145 QTR721141:QTR721145 RDN721141:RDN721145 RNJ721141:RNJ721145 RXF721141:RXF721145 SHB721141:SHB721145 SQX721141:SQX721145 TAT721141:TAT721145 TKP721141:TKP721145 TUL721141:TUL721145 UEH721141:UEH721145 UOD721141:UOD721145 UXZ721141:UXZ721145 VHV721141:VHV721145 VRR721141:VRR721145 WBN721141:WBN721145 WLJ721141:WLJ721145 WVF721141:WVF721145 IT786677:IT786681 SP786677:SP786681 ACL786677:ACL786681 AMH786677:AMH786681 AWD786677:AWD786681 BFZ786677:BFZ786681 BPV786677:BPV786681 BZR786677:BZR786681 CJN786677:CJN786681 CTJ786677:CTJ786681 DDF786677:DDF786681 DNB786677:DNB786681 DWX786677:DWX786681 EGT786677:EGT786681 EQP786677:EQP786681 FAL786677:FAL786681 FKH786677:FKH786681 FUD786677:FUD786681 GDZ786677:GDZ786681 GNV786677:GNV786681 GXR786677:GXR786681 HHN786677:HHN786681 HRJ786677:HRJ786681 IBF786677:IBF786681 ILB786677:ILB786681 IUX786677:IUX786681 JET786677:JET786681 JOP786677:JOP786681 JYL786677:JYL786681 KIH786677:KIH786681 KSD786677:KSD786681 LBZ786677:LBZ786681 LLV786677:LLV786681 LVR786677:LVR786681 MFN786677:MFN786681 MPJ786677:MPJ786681 MZF786677:MZF786681 NJB786677:NJB786681 NSX786677:NSX786681 OCT786677:OCT786681 OMP786677:OMP786681 OWL786677:OWL786681 PGH786677:PGH786681 PQD786677:PQD786681 PZZ786677:PZZ786681 QJV786677:QJV786681 QTR786677:QTR786681 RDN786677:RDN786681 RNJ786677:RNJ786681 RXF786677:RXF786681 SHB786677:SHB786681 SQX786677:SQX786681 TAT786677:TAT786681 TKP786677:TKP786681 TUL786677:TUL786681 UEH786677:UEH786681 UOD786677:UOD786681 UXZ786677:UXZ786681 VHV786677:VHV786681 VRR786677:VRR786681 WBN786677:WBN786681 WLJ786677:WLJ786681 WVF786677:WVF786681 IT852213:IT852217 SP852213:SP852217 ACL852213:ACL852217 AMH852213:AMH852217 AWD852213:AWD852217 BFZ852213:BFZ852217 BPV852213:BPV852217 BZR852213:BZR852217 CJN852213:CJN852217 CTJ852213:CTJ852217 DDF852213:DDF852217 DNB852213:DNB852217 DWX852213:DWX852217 EGT852213:EGT852217 EQP852213:EQP852217 FAL852213:FAL852217 FKH852213:FKH852217 FUD852213:FUD852217 GDZ852213:GDZ852217 GNV852213:GNV852217 GXR852213:GXR852217 HHN852213:HHN852217 HRJ852213:HRJ852217 IBF852213:IBF852217 ILB852213:ILB852217 IUX852213:IUX852217 JET852213:JET852217 JOP852213:JOP852217 JYL852213:JYL852217 KIH852213:KIH852217 KSD852213:KSD852217 LBZ852213:LBZ852217 LLV852213:LLV852217 LVR852213:LVR852217 MFN852213:MFN852217 MPJ852213:MPJ852217 MZF852213:MZF852217 NJB852213:NJB852217 NSX852213:NSX852217 OCT852213:OCT852217 OMP852213:OMP852217 OWL852213:OWL852217 PGH852213:PGH852217 PQD852213:PQD852217 PZZ852213:PZZ852217 QJV852213:QJV852217 QTR852213:QTR852217 RDN852213:RDN852217 RNJ852213:RNJ852217 RXF852213:RXF852217 SHB852213:SHB852217 SQX852213:SQX852217 TAT852213:TAT852217 TKP852213:TKP852217 TUL852213:TUL852217 UEH852213:UEH852217 UOD852213:UOD852217 UXZ852213:UXZ852217 VHV852213:VHV852217 VRR852213:VRR852217 WBN852213:WBN852217 WLJ852213:WLJ852217 WVF852213:WVF852217 IT917749:IT917753 SP917749:SP917753 ACL917749:ACL917753 AMH917749:AMH917753 AWD917749:AWD917753 BFZ917749:BFZ917753 BPV917749:BPV917753 BZR917749:BZR917753 CJN917749:CJN917753 CTJ917749:CTJ917753 DDF917749:DDF917753 DNB917749:DNB917753 DWX917749:DWX917753 EGT917749:EGT917753 EQP917749:EQP917753 FAL917749:FAL917753 FKH917749:FKH917753 FUD917749:FUD917753 GDZ917749:GDZ917753 GNV917749:GNV917753 GXR917749:GXR917753 HHN917749:HHN917753 HRJ917749:HRJ917753 IBF917749:IBF917753 ILB917749:ILB917753 IUX917749:IUX917753 JET917749:JET917753 JOP917749:JOP917753 JYL917749:JYL917753 KIH917749:KIH917753 KSD917749:KSD917753 LBZ917749:LBZ917753 LLV917749:LLV917753 LVR917749:LVR917753 MFN917749:MFN917753 MPJ917749:MPJ917753 MZF917749:MZF917753 NJB917749:NJB917753 NSX917749:NSX917753 OCT917749:OCT917753 OMP917749:OMP917753 OWL917749:OWL917753 PGH917749:PGH917753 PQD917749:PQD917753 PZZ917749:PZZ917753 QJV917749:QJV917753 QTR917749:QTR917753 RDN917749:RDN917753 RNJ917749:RNJ917753 RXF917749:RXF917753 SHB917749:SHB917753 SQX917749:SQX917753 TAT917749:TAT917753 TKP917749:TKP917753 TUL917749:TUL917753 UEH917749:UEH917753 UOD917749:UOD917753 UXZ917749:UXZ917753 VHV917749:VHV917753 VRR917749:VRR917753 WBN917749:WBN917753 WLJ917749:WLJ917753 WVF917749:WVF917753 IT983285:IT983289 SP983285:SP983289 ACL983285:ACL983289 AMH983285:AMH983289 AWD983285:AWD983289 BFZ983285:BFZ983289 BPV983285:BPV983289 BZR983285:BZR983289 CJN983285:CJN983289 CTJ983285:CTJ983289 DDF983285:DDF983289 DNB983285:DNB983289 DWX983285:DWX983289 EGT983285:EGT983289 EQP983285:EQP983289 FAL983285:FAL983289 FKH983285:FKH983289 FUD983285:FUD983289 GDZ983285:GDZ983289 GNV983285:GNV983289 GXR983285:GXR983289 HHN983285:HHN983289 HRJ983285:HRJ983289 IBF983285:IBF983289 ILB983285:ILB983289 IUX983285:IUX983289 JET983285:JET983289 JOP983285:JOP983289 JYL983285:JYL983289 KIH983285:KIH983289 KSD983285:KSD983289 LBZ983285:LBZ983289 LLV983285:LLV983289 LVR983285:LVR983289 MFN983285:MFN983289 MPJ983285:MPJ983289 MZF983285:MZF983289 NJB983285:NJB983289 NSX983285:NSX983289 OCT983285:OCT983289 OMP983285:OMP983289 OWL983285:OWL983289 PGH983285:PGH983289 PQD983285:PQD983289 PZZ983285:PZZ983289 QJV983285:QJV983289 QTR983285:QTR983289 RDN983285:RDN983289 RNJ983285:RNJ983289 RXF983285:RXF983289 SHB983285:SHB983289 SQX983285:SQX983289 TAT983285:TAT983289 TKP983285:TKP983289 TUL983285:TUL983289 UEH983285:UEH983289 UOD983285:UOD983289 UXZ983285:UXZ983289 VHV983285:VHV983289 VRR983285:VRR983289 WBN983285:WBN983289 WLJ983285:WLJ983289 WVF983285:WVF983289 E983285:G983289 E917749:G917753 E852213:G852217 E786677:G786681 E721141:G721145 E655605:G655609 E590069:G590073 E524533:G524537 E458997:G459001 E393461:G393465 E327925:G327929 E262389:G262393 E196853:G196857 E131317:G131321 E65781:G65785"/>
    <dataValidation allowBlank="1" showErrorMessage="1" sqref="IT65780 SP65780 ACL65780 AMH65780 AWD65780 BFZ65780 BPV65780 BZR65780 CJN65780 CTJ65780 DDF65780 DNB65780 DWX65780 EGT65780 EQP65780 FAL65780 FKH65780 FUD65780 GDZ65780 GNV65780 GXR65780 HHN65780 HRJ65780 IBF65780 ILB65780 IUX65780 JET65780 JOP65780 JYL65780 KIH65780 KSD65780 LBZ65780 LLV65780 LVR65780 MFN65780 MPJ65780 MZF65780 NJB65780 NSX65780 OCT65780 OMP65780 OWL65780 PGH65780 PQD65780 PZZ65780 QJV65780 QTR65780 RDN65780 RNJ65780 RXF65780 SHB65780 SQX65780 TAT65780 TKP65780 TUL65780 UEH65780 UOD65780 UXZ65780 VHV65780 VRR65780 WBN65780 WLJ65780 WVF65780 IT131316 SP131316 ACL131316 AMH131316 AWD131316 BFZ131316 BPV131316 BZR131316 CJN131316 CTJ131316 DDF131316 DNB131316 DWX131316 EGT131316 EQP131316 FAL131316 FKH131316 FUD131316 GDZ131316 GNV131316 GXR131316 HHN131316 HRJ131316 IBF131316 ILB131316 IUX131316 JET131316 JOP131316 JYL131316 KIH131316 KSD131316 LBZ131316 LLV131316 LVR131316 MFN131316 MPJ131316 MZF131316 NJB131316 NSX131316 OCT131316 OMP131316 OWL131316 PGH131316 PQD131316 PZZ131316 QJV131316 QTR131316 RDN131316 RNJ131316 RXF131316 SHB131316 SQX131316 TAT131316 TKP131316 TUL131316 UEH131316 UOD131316 UXZ131316 VHV131316 VRR131316 WBN131316 WLJ131316 WVF131316 IT196852 SP196852 ACL196852 AMH196852 AWD196852 BFZ196852 BPV196852 BZR196852 CJN196852 CTJ196852 DDF196852 DNB196852 DWX196852 EGT196852 EQP196852 FAL196852 FKH196852 FUD196852 GDZ196852 GNV196852 GXR196852 HHN196852 HRJ196852 IBF196852 ILB196852 IUX196852 JET196852 JOP196852 JYL196852 KIH196852 KSD196852 LBZ196852 LLV196852 LVR196852 MFN196852 MPJ196852 MZF196852 NJB196852 NSX196852 OCT196852 OMP196852 OWL196852 PGH196852 PQD196852 PZZ196852 QJV196852 QTR196852 RDN196852 RNJ196852 RXF196852 SHB196852 SQX196852 TAT196852 TKP196852 TUL196852 UEH196852 UOD196852 UXZ196852 VHV196852 VRR196852 WBN196852 WLJ196852 WVF196852 IT262388 SP262388 ACL262388 AMH262388 AWD262388 BFZ262388 BPV262388 BZR262388 CJN262388 CTJ262388 DDF262388 DNB262388 DWX262388 EGT262388 EQP262388 FAL262388 FKH262388 FUD262388 GDZ262388 GNV262388 GXR262388 HHN262388 HRJ262388 IBF262388 ILB262388 IUX262388 JET262388 JOP262388 JYL262388 KIH262388 KSD262388 LBZ262388 LLV262388 LVR262388 MFN262388 MPJ262388 MZF262388 NJB262388 NSX262388 OCT262388 OMP262388 OWL262388 PGH262388 PQD262388 PZZ262388 QJV262388 QTR262388 RDN262388 RNJ262388 RXF262388 SHB262388 SQX262388 TAT262388 TKP262388 TUL262388 UEH262388 UOD262388 UXZ262388 VHV262388 VRR262388 WBN262388 WLJ262388 WVF262388 IT327924 SP327924 ACL327924 AMH327924 AWD327924 BFZ327924 BPV327924 BZR327924 CJN327924 CTJ327924 DDF327924 DNB327924 DWX327924 EGT327924 EQP327924 FAL327924 FKH327924 FUD327924 GDZ327924 GNV327924 GXR327924 HHN327924 HRJ327924 IBF327924 ILB327924 IUX327924 JET327924 JOP327924 JYL327924 KIH327924 KSD327924 LBZ327924 LLV327924 LVR327924 MFN327924 MPJ327924 MZF327924 NJB327924 NSX327924 OCT327924 OMP327924 OWL327924 PGH327924 PQD327924 PZZ327924 QJV327924 QTR327924 RDN327924 RNJ327924 RXF327924 SHB327924 SQX327924 TAT327924 TKP327924 TUL327924 UEH327924 UOD327924 UXZ327924 VHV327924 VRR327924 WBN327924 WLJ327924 WVF327924 IT393460 SP393460 ACL393460 AMH393460 AWD393460 BFZ393460 BPV393460 BZR393460 CJN393460 CTJ393460 DDF393460 DNB393460 DWX393460 EGT393460 EQP393460 FAL393460 FKH393460 FUD393460 GDZ393460 GNV393460 GXR393460 HHN393460 HRJ393460 IBF393460 ILB393460 IUX393460 JET393460 JOP393460 JYL393460 KIH393460 KSD393460 LBZ393460 LLV393460 LVR393460 MFN393460 MPJ393460 MZF393460 NJB393460 NSX393460 OCT393460 OMP393460 OWL393460 PGH393460 PQD393460 PZZ393460 QJV393460 QTR393460 RDN393460 RNJ393460 RXF393460 SHB393460 SQX393460 TAT393460 TKP393460 TUL393460 UEH393460 UOD393460 UXZ393460 VHV393460 VRR393460 WBN393460 WLJ393460 WVF393460 IT458996 SP458996 ACL458996 AMH458996 AWD458996 BFZ458996 BPV458996 BZR458996 CJN458996 CTJ458996 DDF458996 DNB458996 DWX458996 EGT458996 EQP458996 FAL458996 FKH458996 FUD458996 GDZ458996 GNV458996 GXR458996 HHN458996 HRJ458996 IBF458996 ILB458996 IUX458996 JET458996 JOP458996 JYL458996 KIH458996 KSD458996 LBZ458996 LLV458996 LVR458996 MFN458996 MPJ458996 MZF458996 NJB458996 NSX458996 OCT458996 OMP458996 OWL458996 PGH458996 PQD458996 PZZ458996 QJV458996 QTR458996 RDN458996 RNJ458996 RXF458996 SHB458996 SQX458996 TAT458996 TKP458996 TUL458996 UEH458996 UOD458996 UXZ458996 VHV458996 VRR458996 WBN458996 WLJ458996 WVF458996 IT524532 SP524532 ACL524532 AMH524532 AWD524532 BFZ524532 BPV524532 BZR524532 CJN524532 CTJ524532 DDF524532 DNB524532 DWX524532 EGT524532 EQP524532 FAL524532 FKH524532 FUD524532 GDZ524532 GNV524532 GXR524532 HHN524532 HRJ524532 IBF524532 ILB524532 IUX524532 JET524532 JOP524532 JYL524532 KIH524532 KSD524532 LBZ524532 LLV524532 LVR524532 MFN524532 MPJ524532 MZF524532 NJB524532 NSX524532 OCT524532 OMP524532 OWL524532 PGH524532 PQD524532 PZZ524532 QJV524532 QTR524532 RDN524532 RNJ524532 RXF524532 SHB524532 SQX524532 TAT524532 TKP524532 TUL524532 UEH524532 UOD524532 UXZ524532 VHV524532 VRR524532 WBN524532 WLJ524532 WVF524532 IT590068 SP590068 ACL590068 AMH590068 AWD590068 BFZ590068 BPV590068 BZR590068 CJN590068 CTJ590068 DDF590068 DNB590068 DWX590068 EGT590068 EQP590068 FAL590068 FKH590068 FUD590068 GDZ590068 GNV590068 GXR590068 HHN590068 HRJ590068 IBF590068 ILB590068 IUX590068 JET590068 JOP590068 JYL590068 KIH590068 KSD590068 LBZ590068 LLV590068 LVR590068 MFN590068 MPJ590068 MZF590068 NJB590068 NSX590068 OCT590068 OMP590068 OWL590068 PGH590068 PQD590068 PZZ590068 QJV590068 QTR590068 RDN590068 RNJ590068 RXF590068 SHB590068 SQX590068 TAT590068 TKP590068 TUL590068 UEH590068 UOD590068 UXZ590068 VHV590068 VRR590068 WBN590068 WLJ590068 WVF590068 IT655604 SP655604 ACL655604 AMH655604 AWD655604 BFZ655604 BPV655604 BZR655604 CJN655604 CTJ655604 DDF655604 DNB655604 DWX655604 EGT655604 EQP655604 FAL655604 FKH655604 FUD655604 GDZ655604 GNV655604 GXR655604 HHN655604 HRJ655604 IBF655604 ILB655604 IUX655604 JET655604 JOP655604 JYL655604 KIH655604 KSD655604 LBZ655604 LLV655604 LVR655604 MFN655604 MPJ655604 MZF655604 NJB655604 NSX655604 OCT655604 OMP655604 OWL655604 PGH655604 PQD655604 PZZ655604 QJV655604 QTR655604 RDN655604 RNJ655604 RXF655604 SHB655604 SQX655604 TAT655604 TKP655604 TUL655604 UEH655604 UOD655604 UXZ655604 VHV655604 VRR655604 WBN655604 WLJ655604 WVF655604 IT721140 SP721140 ACL721140 AMH721140 AWD721140 BFZ721140 BPV721140 BZR721140 CJN721140 CTJ721140 DDF721140 DNB721140 DWX721140 EGT721140 EQP721140 FAL721140 FKH721140 FUD721140 GDZ721140 GNV721140 GXR721140 HHN721140 HRJ721140 IBF721140 ILB721140 IUX721140 JET721140 JOP721140 JYL721140 KIH721140 KSD721140 LBZ721140 LLV721140 LVR721140 MFN721140 MPJ721140 MZF721140 NJB721140 NSX721140 OCT721140 OMP721140 OWL721140 PGH721140 PQD721140 PZZ721140 QJV721140 QTR721140 RDN721140 RNJ721140 RXF721140 SHB721140 SQX721140 TAT721140 TKP721140 TUL721140 UEH721140 UOD721140 UXZ721140 VHV721140 VRR721140 WBN721140 WLJ721140 WVF721140 IT786676 SP786676 ACL786676 AMH786676 AWD786676 BFZ786676 BPV786676 BZR786676 CJN786676 CTJ786676 DDF786676 DNB786676 DWX786676 EGT786676 EQP786676 FAL786676 FKH786676 FUD786676 GDZ786676 GNV786676 GXR786676 HHN786676 HRJ786676 IBF786676 ILB786676 IUX786676 JET786676 JOP786676 JYL786676 KIH786676 KSD786676 LBZ786676 LLV786676 LVR786676 MFN786676 MPJ786676 MZF786676 NJB786676 NSX786676 OCT786676 OMP786676 OWL786676 PGH786676 PQD786676 PZZ786676 QJV786676 QTR786676 RDN786676 RNJ786676 RXF786676 SHB786676 SQX786676 TAT786676 TKP786676 TUL786676 UEH786676 UOD786676 UXZ786676 VHV786676 VRR786676 WBN786676 WLJ786676 WVF786676 IT852212 SP852212 ACL852212 AMH852212 AWD852212 BFZ852212 BPV852212 BZR852212 CJN852212 CTJ852212 DDF852212 DNB852212 DWX852212 EGT852212 EQP852212 FAL852212 FKH852212 FUD852212 GDZ852212 GNV852212 GXR852212 HHN852212 HRJ852212 IBF852212 ILB852212 IUX852212 JET852212 JOP852212 JYL852212 KIH852212 KSD852212 LBZ852212 LLV852212 LVR852212 MFN852212 MPJ852212 MZF852212 NJB852212 NSX852212 OCT852212 OMP852212 OWL852212 PGH852212 PQD852212 PZZ852212 QJV852212 QTR852212 RDN852212 RNJ852212 RXF852212 SHB852212 SQX852212 TAT852212 TKP852212 TUL852212 UEH852212 UOD852212 UXZ852212 VHV852212 VRR852212 WBN852212 WLJ852212 WVF852212 IT917748 SP917748 ACL917748 AMH917748 AWD917748 BFZ917748 BPV917748 BZR917748 CJN917748 CTJ917748 DDF917748 DNB917748 DWX917748 EGT917748 EQP917748 FAL917748 FKH917748 FUD917748 GDZ917748 GNV917748 GXR917748 HHN917748 HRJ917748 IBF917748 ILB917748 IUX917748 JET917748 JOP917748 JYL917748 KIH917748 KSD917748 LBZ917748 LLV917748 LVR917748 MFN917748 MPJ917748 MZF917748 NJB917748 NSX917748 OCT917748 OMP917748 OWL917748 PGH917748 PQD917748 PZZ917748 QJV917748 QTR917748 RDN917748 RNJ917748 RXF917748 SHB917748 SQX917748 TAT917748 TKP917748 TUL917748 UEH917748 UOD917748 UXZ917748 VHV917748 VRR917748 WBN917748 WLJ917748 WVF917748 IT983284 SP983284 ACL983284 AMH983284 AWD983284 BFZ983284 BPV983284 BZR983284 CJN983284 CTJ983284 DDF983284 DNB983284 DWX983284 EGT983284 EQP983284 FAL983284 FKH983284 FUD983284 GDZ983284 GNV983284 GXR983284 HHN983284 HRJ983284 IBF983284 ILB983284 IUX983284 JET983284 JOP983284 JYL983284 KIH983284 KSD983284 LBZ983284 LLV983284 LVR983284 MFN983284 MPJ983284 MZF983284 NJB983284 NSX983284 OCT983284 OMP983284 OWL983284 PGH983284 PQD983284 PZZ983284 QJV983284 QTR983284 RDN983284 RNJ983284 RXF983284 SHB983284 SQX983284 TAT983284 TKP983284 TUL983284 UEH983284 UOD983284 UXZ983284 VHV983284 VRR983284 WBN983284 WLJ983284 WVF983284 E983284:G983284 E917748:G917748 E852212:G852212 E786676:G786676 E721140:G721140 E655604:G655604 E590068:G590068 E524532:G524532 E458996:G458996 E393460:G393460 E327924:G327924 E262388:G262388 E196852:G196852 E131316:G131316 E65780:G65780"/>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topLeftCell="F1" zoomScaleNormal="100" workbookViewId="0">
      <selection activeCell="S18" sqref="S18"/>
    </sheetView>
  </sheetViews>
  <sheetFormatPr baseColWidth="10" defaultRowHeight="15"/>
  <cols>
    <col min="1" max="5" width="11.42578125" style="36"/>
    <col min="6" max="6" width="39.28515625" style="36" customWidth="1"/>
    <col min="7" max="7" width="14" style="36" customWidth="1"/>
    <col min="8" max="10" width="11.42578125" style="36"/>
    <col min="11" max="11" width="15.42578125" style="36" customWidth="1"/>
    <col min="12" max="14" width="11.42578125" style="36"/>
    <col min="15" max="15" width="12.85546875" style="36" customWidth="1"/>
    <col min="16" max="16" width="11.42578125" style="36"/>
    <col min="17" max="17" width="14.5703125" style="36" customWidth="1"/>
    <col min="18" max="18" width="11.42578125" style="36"/>
    <col min="19" max="19" width="14.5703125" style="36" customWidth="1"/>
    <col min="20" max="22" width="11.42578125" style="36"/>
    <col min="23" max="23" width="14.42578125" style="36" customWidth="1"/>
    <col min="24" max="16384" width="11.42578125" style="36"/>
  </cols>
  <sheetData>
    <row r="1" spans="1:23">
      <c r="A1" s="36" t="s">
        <v>185</v>
      </c>
    </row>
    <row r="2" spans="1:23">
      <c r="K2" s="36" t="s">
        <v>186</v>
      </c>
    </row>
    <row r="3" spans="1:23">
      <c r="V3" s="28">
        <v>41913</v>
      </c>
      <c r="W3" s="29">
        <v>0.46590277777777778</v>
      </c>
    </row>
    <row r="4" spans="1:23">
      <c r="A4" s="36" t="s">
        <v>187</v>
      </c>
    </row>
    <row r="5" spans="1:23">
      <c r="K5" s="36" t="s">
        <v>188</v>
      </c>
    </row>
    <row r="6" spans="1:23">
      <c r="V6" s="36" t="s">
        <v>189</v>
      </c>
    </row>
    <row r="7" spans="1:23">
      <c r="W7" s="36">
        <v>1</v>
      </c>
    </row>
    <row r="8" spans="1:23">
      <c r="G8" s="36" t="s">
        <v>190</v>
      </c>
      <c r="Q8" s="36">
        <v>2014</v>
      </c>
    </row>
    <row r="9" spans="1:23">
      <c r="K9" s="36" t="s">
        <v>191</v>
      </c>
    </row>
    <row r="10" spans="1:23">
      <c r="I10" s="36" t="s">
        <v>192</v>
      </c>
      <c r="L10" s="36" t="s">
        <v>193</v>
      </c>
      <c r="P10" s="36" t="s">
        <v>194</v>
      </c>
      <c r="T10" s="36" t="s">
        <v>195</v>
      </c>
    </row>
    <row r="11" spans="1:23" ht="15.75">
      <c r="A11" s="36" t="s">
        <v>171</v>
      </c>
      <c r="B11" s="36" t="s">
        <v>173</v>
      </c>
      <c r="C11" s="36" t="s">
        <v>196</v>
      </c>
      <c r="D11" s="36" t="s">
        <v>172</v>
      </c>
      <c r="G11" s="30" t="s">
        <v>197</v>
      </c>
      <c r="H11" s="30"/>
      <c r="I11" s="30" t="s">
        <v>198</v>
      </c>
      <c r="J11" s="31"/>
      <c r="K11" s="30" t="s">
        <v>199</v>
      </c>
      <c r="L11" s="30"/>
      <c r="M11" s="30" t="s">
        <v>198</v>
      </c>
      <c r="N11" s="30"/>
      <c r="O11" s="30" t="s">
        <v>200</v>
      </c>
      <c r="P11" s="32"/>
      <c r="Q11" s="30" t="s">
        <v>198</v>
      </c>
      <c r="R11" s="30"/>
      <c r="S11" s="30" t="s">
        <v>199</v>
      </c>
      <c r="T11" s="32"/>
      <c r="U11" s="30" t="s">
        <v>198</v>
      </c>
      <c r="V11" s="30"/>
      <c r="W11" s="30" t="s">
        <v>201</v>
      </c>
    </row>
    <row r="12" spans="1:23">
      <c r="A12" s="36" t="s">
        <v>202</v>
      </c>
      <c r="G12" s="33">
        <v>2526077000</v>
      </c>
      <c r="H12" s="33"/>
      <c r="I12" s="33">
        <v>225599722</v>
      </c>
      <c r="J12" s="33"/>
      <c r="K12" s="33">
        <v>2300477278</v>
      </c>
      <c r="L12" s="33"/>
      <c r="M12" s="33">
        <v>245639944</v>
      </c>
      <c r="N12" s="33"/>
      <c r="O12" s="33">
        <v>2054837334</v>
      </c>
      <c r="P12" s="34"/>
      <c r="Q12" s="33">
        <v>1120396719</v>
      </c>
      <c r="R12" s="33"/>
      <c r="S12" s="33">
        <v>934440615</v>
      </c>
      <c r="T12" s="35"/>
      <c r="U12" s="33">
        <v>0</v>
      </c>
      <c r="V12" s="33"/>
      <c r="W12" s="33">
        <v>934440615</v>
      </c>
    </row>
    <row r="13" spans="1:23">
      <c r="A13" s="36">
        <v>113608002</v>
      </c>
      <c r="D13" s="36" t="s">
        <v>146</v>
      </c>
      <c r="G13" s="33">
        <v>150000000</v>
      </c>
      <c r="H13" s="33"/>
      <c r="I13" s="33">
        <v>317676</v>
      </c>
      <c r="J13" s="33"/>
      <c r="K13" s="33">
        <v>149682324</v>
      </c>
      <c r="L13" s="33"/>
      <c r="M13" s="33">
        <v>76946561</v>
      </c>
      <c r="N13" s="33"/>
      <c r="O13" s="33">
        <v>72735763</v>
      </c>
      <c r="P13" s="34"/>
      <c r="Q13" s="33">
        <v>18028628</v>
      </c>
      <c r="R13" s="33"/>
      <c r="S13" s="33">
        <v>54707135</v>
      </c>
      <c r="T13" s="35"/>
      <c r="U13" s="33">
        <v>0</v>
      </c>
      <c r="V13" s="33"/>
      <c r="W13" s="33">
        <v>54707135</v>
      </c>
    </row>
    <row r="14" spans="1:23">
      <c r="A14" s="36">
        <v>113608002000001</v>
      </c>
      <c r="D14" s="36" t="s">
        <v>205</v>
      </c>
      <c r="G14" s="33">
        <v>25000000</v>
      </c>
      <c r="H14" s="33"/>
      <c r="I14" s="33">
        <v>400</v>
      </c>
      <c r="J14" s="33"/>
      <c r="K14" s="33">
        <v>24999600</v>
      </c>
      <c r="L14" s="33"/>
      <c r="M14" s="33">
        <v>24999600</v>
      </c>
      <c r="N14" s="33"/>
      <c r="O14" s="33">
        <v>0</v>
      </c>
      <c r="P14" s="34"/>
      <c r="Q14" s="33">
        <v>0</v>
      </c>
      <c r="R14" s="33"/>
      <c r="S14" s="33">
        <v>0</v>
      </c>
      <c r="T14" s="35"/>
      <c r="U14" s="33">
        <v>0</v>
      </c>
      <c r="V14" s="33"/>
      <c r="W14" s="33">
        <v>0</v>
      </c>
    </row>
    <row r="15" spans="1:23">
      <c r="A15" s="36">
        <v>113608002000003</v>
      </c>
      <c r="D15" s="36" t="s">
        <v>207</v>
      </c>
      <c r="G15" s="33">
        <v>35000000</v>
      </c>
      <c r="H15" s="33"/>
      <c r="I15" s="33">
        <v>560</v>
      </c>
      <c r="J15" s="33"/>
      <c r="K15" s="33">
        <v>34999440</v>
      </c>
      <c r="L15" s="33"/>
      <c r="M15" s="33">
        <v>34999440</v>
      </c>
      <c r="N15" s="33"/>
      <c r="O15" s="33">
        <v>0</v>
      </c>
      <c r="P15" s="34"/>
      <c r="Q15" s="33">
        <v>0</v>
      </c>
      <c r="R15" s="33"/>
      <c r="S15" s="33">
        <v>0</v>
      </c>
      <c r="T15" s="35"/>
      <c r="U15" s="33">
        <v>0</v>
      </c>
      <c r="V15" s="33"/>
      <c r="W15" s="33">
        <v>0</v>
      </c>
    </row>
    <row r="16" spans="1:23">
      <c r="A16" s="36">
        <v>113608002000004</v>
      </c>
      <c r="D16" s="36" t="s">
        <v>147</v>
      </c>
      <c r="G16" s="33">
        <v>90000000</v>
      </c>
      <c r="H16" s="33"/>
      <c r="I16" s="33">
        <v>316716</v>
      </c>
      <c r="J16" s="33"/>
      <c r="K16" s="33">
        <v>89683284</v>
      </c>
      <c r="L16" s="33"/>
      <c r="M16" s="33">
        <v>16947521</v>
      </c>
      <c r="N16" s="33"/>
      <c r="O16" s="33">
        <v>72735763</v>
      </c>
      <c r="P16" s="34"/>
      <c r="Q16" s="33">
        <v>18028628</v>
      </c>
      <c r="R16" s="33"/>
      <c r="S16" s="33">
        <v>54707135</v>
      </c>
      <c r="T16" s="35"/>
      <c r="U16" s="33">
        <v>0</v>
      </c>
      <c r="V16" s="33"/>
      <c r="W16" s="33">
        <v>54707135</v>
      </c>
    </row>
    <row r="17" spans="1:23">
      <c r="A17" s="36">
        <v>113608003</v>
      </c>
      <c r="D17" s="36" t="s">
        <v>74</v>
      </c>
      <c r="G17" s="33">
        <v>1000000000</v>
      </c>
      <c r="H17" s="33"/>
      <c r="I17" s="33">
        <v>109865943</v>
      </c>
      <c r="J17" s="33"/>
      <c r="K17" s="33">
        <v>890134057</v>
      </c>
      <c r="L17" s="33"/>
      <c r="M17" s="33">
        <v>5</v>
      </c>
      <c r="N17" s="33"/>
      <c r="O17" s="33">
        <v>890134052</v>
      </c>
      <c r="P17" s="34"/>
      <c r="Q17" s="33">
        <v>641040299</v>
      </c>
      <c r="R17" s="33"/>
      <c r="S17" s="33">
        <v>249093753</v>
      </c>
      <c r="T17" s="35"/>
      <c r="U17" s="33">
        <v>0</v>
      </c>
      <c r="V17" s="33"/>
      <c r="W17" s="33">
        <v>249093753</v>
      </c>
    </row>
    <row r="18" spans="1:23">
      <c r="A18" s="36">
        <v>113608003000003</v>
      </c>
      <c r="D18" s="36" t="s">
        <v>175</v>
      </c>
      <c r="G18" s="33">
        <v>285387697</v>
      </c>
      <c r="H18" s="33"/>
      <c r="I18" s="33">
        <v>14231090</v>
      </c>
      <c r="J18" s="33"/>
      <c r="K18" s="33">
        <v>271156607</v>
      </c>
      <c r="L18" s="33"/>
      <c r="M18" s="33">
        <v>2</v>
      </c>
      <c r="N18" s="33"/>
      <c r="O18" s="33">
        <v>271156605</v>
      </c>
      <c r="P18" s="34"/>
      <c r="Q18" s="33">
        <v>271156605</v>
      </c>
      <c r="R18" s="33"/>
      <c r="S18" s="33">
        <v>0</v>
      </c>
      <c r="T18" s="35"/>
      <c r="U18" s="33">
        <v>0</v>
      </c>
      <c r="V18" s="33"/>
      <c r="W18" s="33">
        <v>0</v>
      </c>
    </row>
    <row r="19" spans="1:23">
      <c r="A19" s="36">
        <v>113608003000004</v>
      </c>
      <c r="D19" s="36" t="s">
        <v>179</v>
      </c>
      <c r="G19" s="33">
        <v>500738000</v>
      </c>
      <c r="H19" s="33"/>
      <c r="I19" s="33">
        <v>1833548</v>
      </c>
      <c r="J19" s="33"/>
      <c r="K19" s="33">
        <v>498904452</v>
      </c>
      <c r="L19" s="33"/>
      <c r="M19" s="33">
        <v>3</v>
      </c>
      <c r="N19" s="33"/>
      <c r="O19" s="33">
        <v>498904449</v>
      </c>
      <c r="P19" s="34"/>
      <c r="Q19" s="33">
        <v>249810696</v>
      </c>
      <c r="R19" s="33"/>
      <c r="S19" s="33">
        <v>249093753</v>
      </c>
      <c r="T19" s="35"/>
      <c r="U19" s="33">
        <v>0</v>
      </c>
      <c r="V19" s="33"/>
      <c r="W19" s="33">
        <v>249093753</v>
      </c>
    </row>
    <row r="20" spans="1:23">
      <c r="A20" s="36">
        <v>113608003000006</v>
      </c>
      <c r="D20" s="36" t="s">
        <v>180</v>
      </c>
      <c r="G20" s="33">
        <v>123200000</v>
      </c>
      <c r="H20" s="33"/>
      <c r="I20" s="33">
        <v>3127002</v>
      </c>
      <c r="J20" s="33"/>
      <c r="K20" s="33">
        <v>120072998</v>
      </c>
      <c r="L20" s="33"/>
      <c r="M20" s="33">
        <v>0</v>
      </c>
      <c r="N20" s="33"/>
      <c r="O20" s="33">
        <v>120072998</v>
      </c>
      <c r="P20" s="34"/>
      <c r="Q20" s="33">
        <v>120072998</v>
      </c>
      <c r="R20" s="33"/>
      <c r="S20" s="33">
        <v>0</v>
      </c>
      <c r="T20" s="35"/>
      <c r="U20" s="33">
        <v>0</v>
      </c>
      <c r="V20" s="33"/>
      <c r="W20" s="33">
        <v>0</v>
      </c>
    </row>
    <row r="21" spans="1:23">
      <c r="A21" s="36">
        <v>113608003000018</v>
      </c>
      <c r="D21" s="36" t="s">
        <v>176</v>
      </c>
      <c r="G21" s="33">
        <v>90674303</v>
      </c>
      <c r="H21" s="33"/>
      <c r="I21" s="33">
        <v>90674303</v>
      </c>
      <c r="J21" s="33"/>
      <c r="K21" s="33">
        <v>0</v>
      </c>
      <c r="L21" s="33"/>
      <c r="M21" s="33">
        <v>0</v>
      </c>
      <c r="N21" s="33"/>
      <c r="O21" s="33">
        <v>0</v>
      </c>
      <c r="P21" s="34"/>
      <c r="Q21" s="33">
        <v>0</v>
      </c>
      <c r="R21" s="33"/>
      <c r="S21" s="33">
        <v>0</v>
      </c>
      <c r="T21" s="35"/>
      <c r="U21" s="33">
        <v>0</v>
      </c>
      <c r="V21" s="33"/>
      <c r="W21" s="33">
        <v>0</v>
      </c>
    </row>
    <row r="22" spans="1:23">
      <c r="A22" s="36">
        <v>113608119</v>
      </c>
      <c r="D22" s="36" t="s">
        <v>81</v>
      </c>
      <c r="G22" s="33">
        <v>237000000</v>
      </c>
      <c r="H22" s="33"/>
      <c r="I22" s="33">
        <v>2721765</v>
      </c>
      <c r="J22" s="33"/>
      <c r="K22" s="33">
        <v>234278235</v>
      </c>
      <c r="L22" s="33"/>
      <c r="M22" s="33">
        <v>15850377</v>
      </c>
      <c r="N22" s="33"/>
      <c r="O22" s="33">
        <v>218427858</v>
      </c>
      <c r="P22" s="34"/>
      <c r="Q22" s="33">
        <v>99359120</v>
      </c>
      <c r="R22" s="33"/>
      <c r="S22" s="33">
        <v>119068738</v>
      </c>
      <c r="T22" s="35"/>
      <c r="U22" s="33">
        <v>0</v>
      </c>
      <c r="V22" s="33"/>
      <c r="W22" s="33">
        <v>119068738</v>
      </c>
    </row>
    <row r="23" spans="1:23">
      <c r="A23" s="36">
        <v>113608119000001</v>
      </c>
      <c r="D23" s="36" t="s">
        <v>82</v>
      </c>
      <c r="G23" s="33">
        <v>30000000</v>
      </c>
      <c r="H23" s="33"/>
      <c r="I23" s="33">
        <v>128994</v>
      </c>
      <c r="J23" s="33"/>
      <c r="K23" s="33">
        <v>29871006</v>
      </c>
      <c r="L23" s="33"/>
      <c r="M23" s="33">
        <v>149394</v>
      </c>
      <c r="N23" s="33"/>
      <c r="O23" s="33">
        <v>29721612</v>
      </c>
      <c r="P23" s="34"/>
      <c r="Q23" s="33">
        <v>9689804</v>
      </c>
      <c r="R23" s="33"/>
      <c r="S23" s="33">
        <v>20031808</v>
      </c>
      <c r="T23" s="35"/>
      <c r="U23" s="33">
        <v>0</v>
      </c>
      <c r="V23" s="33"/>
      <c r="W23" s="33">
        <v>20031808</v>
      </c>
    </row>
    <row r="24" spans="1:23">
      <c r="A24" s="36">
        <v>113608119000002</v>
      </c>
      <c r="D24" s="36" t="s">
        <v>177</v>
      </c>
      <c r="G24" s="33">
        <v>22000000</v>
      </c>
      <c r="H24" s="33"/>
      <c r="I24" s="33">
        <v>905458</v>
      </c>
      <c r="J24" s="33"/>
      <c r="K24" s="33">
        <v>21094542</v>
      </c>
      <c r="L24" s="33"/>
      <c r="M24" s="33">
        <v>0</v>
      </c>
      <c r="N24" s="33"/>
      <c r="O24" s="33">
        <v>21094542</v>
      </c>
      <c r="P24" s="34"/>
      <c r="Q24" s="33">
        <v>0</v>
      </c>
      <c r="R24" s="33"/>
      <c r="S24" s="33">
        <v>21094542</v>
      </c>
      <c r="T24" s="35"/>
      <c r="U24" s="33">
        <v>0</v>
      </c>
      <c r="V24" s="33"/>
      <c r="W24" s="33">
        <v>21094542</v>
      </c>
    </row>
    <row r="25" spans="1:23">
      <c r="A25" s="36">
        <v>113608119000003</v>
      </c>
      <c r="D25" s="36" t="s">
        <v>84</v>
      </c>
      <c r="G25" s="33">
        <v>160000000</v>
      </c>
      <c r="H25" s="33"/>
      <c r="I25" s="33">
        <v>671669</v>
      </c>
      <c r="J25" s="33"/>
      <c r="K25" s="33">
        <v>159328331</v>
      </c>
      <c r="L25" s="33"/>
      <c r="M25" s="33">
        <v>15700981</v>
      </c>
      <c r="N25" s="33"/>
      <c r="O25" s="33">
        <v>143627350</v>
      </c>
      <c r="P25" s="34"/>
      <c r="Q25" s="33">
        <v>84751283</v>
      </c>
      <c r="R25" s="33"/>
      <c r="S25" s="33">
        <v>58876067</v>
      </c>
      <c r="T25" s="35"/>
      <c r="U25" s="33">
        <v>0</v>
      </c>
      <c r="V25" s="33"/>
      <c r="W25" s="33">
        <v>58876067</v>
      </c>
    </row>
    <row r="26" spans="1:23">
      <c r="A26" s="36">
        <v>113608119000005</v>
      </c>
      <c r="D26" s="36" t="s">
        <v>85</v>
      </c>
      <c r="G26" s="33">
        <v>20000000</v>
      </c>
      <c r="H26" s="33"/>
      <c r="I26" s="33">
        <v>933678</v>
      </c>
      <c r="J26" s="33"/>
      <c r="K26" s="33">
        <v>19066322</v>
      </c>
      <c r="L26" s="33"/>
      <c r="M26" s="33">
        <v>1</v>
      </c>
      <c r="N26" s="33"/>
      <c r="O26" s="33">
        <v>19066321</v>
      </c>
      <c r="P26" s="34"/>
      <c r="Q26" s="33">
        <v>0</v>
      </c>
      <c r="R26" s="33"/>
      <c r="S26" s="33">
        <v>19066321</v>
      </c>
      <c r="T26" s="35"/>
      <c r="U26" s="33">
        <v>0</v>
      </c>
      <c r="V26" s="33"/>
      <c r="W26" s="33">
        <v>19066321</v>
      </c>
    </row>
    <row r="27" spans="1:23">
      <c r="A27" s="36">
        <v>113608119000006</v>
      </c>
      <c r="D27" s="36" t="s">
        <v>178</v>
      </c>
      <c r="G27" s="33">
        <v>5000000</v>
      </c>
      <c r="H27" s="33"/>
      <c r="I27" s="33">
        <v>81966</v>
      </c>
      <c r="J27" s="33"/>
      <c r="K27" s="33">
        <v>4918034</v>
      </c>
      <c r="L27" s="33"/>
      <c r="M27" s="33">
        <v>1</v>
      </c>
      <c r="N27" s="33"/>
      <c r="O27" s="33">
        <v>4918033</v>
      </c>
      <c r="P27" s="34"/>
      <c r="Q27" s="33">
        <v>4918033</v>
      </c>
      <c r="R27" s="33"/>
      <c r="S27" s="33">
        <v>0</v>
      </c>
      <c r="T27" s="35"/>
      <c r="U27" s="33">
        <v>0</v>
      </c>
      <c r="V27" s="33"/>
      <c r="W27" s="33">
        <v>0</v>
      </c>
    </row>
    <row r="28" spans="1:23">
      <c r="A28" s="36">
        <v>1.13608119000006E+16</v>
      </c>
      <c r="D28" s="36" t="s">
        <v>86</v>
      </c>
      <c r="G28" s="33">
        <v>5000000</v>
      </c>
      <c r="H28" s="33"/>
      <c r="I28" s="33">
        <v>81966</v>
      </c>
      <c r="J28" s="33"/>
      <c r="K28" s="33">
        <v>4918034</v>
      </c>
      <c r="L28" s="33"/>
      <c r="M28" s="33">
        <v>1</v>
      </c>
      <c r="N28" s="33"/>
      <c r="O28" s="33">
        <v>4918033</v>
      </c>
      <c r="P28" s="34"/>
      <c r="Q28" s="33">
        <v>4918033</v>
      </c>
      <c r="R28" s="33"/>
      <c r="S28" s="33">
        <v>0</v>
      </c>
      <c r="T28" s="35"/>
      <c r="U28" s="33">
        <v>0</v>
      </c>
      <c r="V28" s="33"/>
      <c r="W28" s="33">
        <v>0</v>
      </c>
    </row>
    <row r="29" spans="1:23">
      <c r="A29" s="36">
        <v>123608001</v>
      </c>
      <c r="D29" s="36" t="s">
        <v>76</v>
      </c>
      <c r="G29" s="33">
        <v>130000000</v>
      </c>
      <c r="H29" s="33"/>
      <c r="I29" s="33">
        <v>6800018</v>
      </c>
      <c r="J29" s="33"/>
      <c r="K29" s="33">
        <v>123199982</v>
      </c>
      <c r="L29" s="33"/>
      <c r="M29" s="33">
        <v>123199982</v>
      </c>
      <c r="N29" s="33"/>
      <c r="O29" s="33">
        <v>0</v>
      </c>
      <c r="P29" s="34"/>
      <c r="Q29" s="33">
        <v>0</v>
      </c>
      <c r="R29" s="33"/>
      <c r="S29" s="33">
        <v>0</v>
      </c>
      <c r="T29" s="35"/>
      <c r="U29" s="33">
        <v>0</v>
      </c>
      <c r="V29" s="33"/>
      <c r="W29" s="33">
        <v>0</v>
      </c>
    </row>
    <row r="30" spans="1:23">
      <c r="A30" s="36">
        <v>123608001000</v>
      </c>
      <c r="D30" s="36" t="s">
        <v>204</v>
      </c>
      <c r="G30" s="33">
        <v>130000000</v>
      </c>
      <c r="H30" s="33"/>
      <c r="I30" s="33">
        <v>6800018</v>
      </c>
      <c r="J30" s="33"/>
      <c r="K30" s="33">
        <v>123199982</v>
      </c>
      <c r="L30" s="33"/>
      <c r="M30" s="33">
        <v>123199982</v>
      </c>
      <c r="N30" s="33"/>
      <c r="O30" s="33">
        <v>0</v>
      </c>
      <c r="P30" s="34"/>
      <c r="Q30" s="33">
        <v>0</v>
      </c>
      <c r="R30" s="33"/>
      <c r="S30" s="33">
        <v>0</v>
      </c>
      <c r="T30" s="35"/>
      <c r="U30" s="33">
        <v>0</v>
      </c>
      <c r="V30" s="33"/>
      <c r="W30" s="33">
        <v>0</v>
      </c>
    </row>
    <row r="31" spans="1:23">
      <c r="A31" s="36">
        <v>123608001000001</v>
      </c>
      <c r="D31" s="36" t="s">
        <v>77</v>
      </c>
      <c r="G31" s="33">
        <v>130000000</v>
      </c>
      <c r="H31" s="33"/>
      <c r="I31" s="33">
        <v>6800018</v>
      </c>
      <c r="J31" s="33"/>
      <c r="K31" s="33">
        <v>123199982</v>
      </c>
      <c r="L31" s="33"/>
      <c r="M31" s="33">
        <v>123199982</v>
      </c>
      <c r="N31" s="33"/>
      <c r="O31" s="33">
        <v>0</v>
      </c>
      <c r="P31" s="34"/>
      <c r="Q31" s="33">
        <v>0</v>
      </c>
      <c r="R31" s="33"/>
      <c r="S31" s="33">
        <v>0</v>
      </c>
      <c r="T31" s="35"/>
      <c r="U31" s="33">
        <v>0</v>
      </c>
      <c r="V31" s="33"/>
      <c r="W31" s="33">
        <v>0</v>
      </c>
    </row>
    <row r="32" spans="1:23">
      <c r="A32" s="36">
        <v>211608034</v>
      </c>
      <c r="D32" s="36" t="s">
        <v>47</v>
      </c>
      <c r="G32" s="33">
        <v>40000000</v>
      </c>
      <c r="H32" s="33"/>
      <c r="I32" s="33">
        <v>166794</v>
      </c>
      <c r="J32" s="33"/>
      <c r="K32" s="33">
        <v>39833206</v>
      </c>
      <c r="L32" s="33"/>
      <c r="M32" s="33">
        <v>14873914</v>
      </c>
      <c r="N32" s="33"/>
      <c r="O32" s="33">
        <v>24959292</v>
      </c>
      <c r="P32" s="34"/>
      <c r="Q32" s="33">
        <v>24959292</v>
      </c>
      <c r="R32" s="33"/>
      <c r="S32" s="33">
        <v>0</v>
      </c>
      <c r="T32" s="35"/>
      <c r="U32" s="33">
        <v>0</v>
      </c>
      <c r="V32" s="33"/>
      <c r="W32" s="33">
        <v>0</v>
      </c>
    </row>
    <row r="33" spans="1:23">
      <c r="A33" s="36">
        <v>211608034000</v>
      </c>
      <c r="D33" s="36" t="s">
        <v>204</v>
      </c>
      <c r="G33" s="33">
        <v>40000000</v>
      </c>
      <c r="H33" s="33"/>
      <c r="I33" s="33">
        <v>166794</v>
      </c>
      <c r="J33" s="33"/>
      <c r="K33" s="33">
        <v>39833206</v>
      </c>
      <c r="L33" s="33"/>
      <c r="M33" s="33">
        <v>14873914</v>
      </c>
      <c r="N33" s="33"/>
      <c r="O33" s="33">
        <v>24959292</v>
      </c>
      <c r="P33" s="34"/>
      <c r="Q33" s="33">
        <v>24959292</v>
      </c>
      <c r="R33" s="33"/>
      <c r="S33" s="33">
        <v>0</v>
      </c>
      <c r="T33" s="35"/>
      <c r="U33" s="33">
        <v>0</v>
      </c>
      <c r="V33" s="33"/>
      <c r="W33" s="33">
        <v>0</v>
      </c>
    </row>
    <row r="34" spans="1:23">
      <c r="A34" s="36">
        <v>211608034000002</v>
      </c>
      <c r="D34" s="36" t="s">
        <v>67</v>
      </c>
      <c r="G34" s="33">
        <v>25000000</v>
      </c>
      <c r="H34" s="33"/>
      <c r="I34" s="33">
        <v>40708</v>
      </c>
      <c r="J34" s="33"/>
      <c r="K34" s="33">
        <v>24959292</v>
      </c>
      <c r="L34" s="33"/>
      <c r="M34" s="33">
        <v>0</v>
      </c>
      <c r="N34" s="33"/>
      <c r="O34" s="33">
        <v>24959292</v>
      </c>
      <c r="P34" s="34"/>
      <c r="Q34" s="33">
        <v>24959292</v>
      </c>
      <c r="R34" s="33"/>
      <c r="S34" s="33">
        <v>0</v>
      </c>
      <c r="T34" s="35"/>
      <c r="U34" s="33">
        <v>0</v>
      </c>
      <c r="V34" s="33"/>
      <c r="W34" s="33">
        <v>0</v>
      </c>
    </row>
    <row r="35" spans="1:23">
      <c r="A35" s="36">
        <v>211608034000003</v>
      </c>
      <c r="D35" s="36" t="s">
        <v>38</v>
      </c>
      <c r="G35" s="33">
        <v>15000000</v>
      </c>
      <c r="H35" s="33"/>
      <c r="I35" s="33">
        <v>126086</v>
      </c>
      <c r="J35" s="33"/>
      <c r="K35" s="33">
        <v>14873914</v>
      </c>
      <c r="L35" s="33"/>
      <c r="M35" s="33">
        <v>14873914</v>
      </c>
      <c r="N35" s="33"/>
      <c r="O35" s="33">
        <v>0</v>
      </c>
      <c r="P35" s="34"/>
      <c r="Q35" s="33">
        <v>0</v>
      </c>
      <c r="R35" s="33"/>
      <c r="S35" s="33">
        <v>0</v>
      </c>
      <c r="T35" s="35"/>
      <c r="U35" s="33">
        <v>0</v>
      </c>
      <c r="V35" s="33"/>
      <c r="W35" s="33">
        <v>0</v>
      </c>
    </row>
    <row r="36" spans="1:23">
      <c r="A36" s="36">
        <v>213608002</v>
      </c>
      <c r="D36" s="36" t="s">
        <v>106</v>
      </c>
      <c r="G36" s="33">
        <v>6000000</v>
      </c>
      <c r="H36" s="33"/>
      <c r="I36" s="33">
        <v>2104</v>
      </c>
      <c r="J36" s="33"/>
      <c r="K36" s="33">
        <v>5997896</v>
      </c>
      <c r="L36" s="33"/>
      <c r="M36" s="33">
        <v>54216</v>
      </c>
      <c r="N36" s="33"/>
      <c r="O36" s="33">
        <v>5943680</v>
      </c>
      <c r="P36" s="34"/>
      <c r="Q36" s="33">
        <v>0</v>
      </c>
      <c r="R36" s="33"/>
      <c r="S36" s="33">
        <v>5943680</v>
      </c>
      <c r="T36" s="35"/>
      <c r="U36" s="33">
        <v>0</v>
      </c>
      <c r="V36" s="33"/>
      <c r="W36" s="33">
        <v>5943680</v>
      </c>
    </row>
    <row r="37" spans="1:23">
      <c r="A37" s="36">
        <v>213608002000002</v>
      </c>
      <c r="D37" s="36" t="s">
        <v>93</v>
      </c>
      <c r="G37" s="33">
        <v>6000000</v>
      </c>
      <c r="H37" s="33"/>
      <c r="I37" s="33">
        <v>2104</v>
      </c>
      <c r="J37" s="33"/>
      <c r="K37" s="33">
        <v>5997896</v>
      </c>
      <c r="L37" s="33"/>
      <c r="M37" s="33">
        <v>54216</v>
      </c>
      <c r="N37" s="33"/>
      <c r="O37" s="33">
        <v>5943680</v>
      </c>
      <c r="P37" s="34"/>
      <c r="Q37" s="33">
        <v>0</v>
      </c>
      <c r="R37" s="33"/>
      <c r="S37" s="33">
        <v>5943680</v>
      </c>
      <c r="T37" s="35"/>
      <c r="U37" s="33">
        <v>0</v>
      </c>
      <c r="V37" s="33"/>
      <c r="W37" s="33">
        <v>5943680</v>
      </c>
    </row>
    <row r="38" spans="1:23">
      <c r="A38" s="36">
        <v>213608003</v>
      </c>
      <c r="D38" s="36" t="s">
        <v>181</v>
      </c>
      <c r="G38" s="33">
        <v>14000000</v>
      </c>
      <c r="H38" s="33"/>
      <c r="I38" s="33">
        <v>6000001</v>
      </c>
      <c r="J38" s="33"/>
      <c r="K38" s="33">
        <v>7999999</v>
      </c>
      <c r="L38" s="33"/>
      <c r="M38" s="33">
        <v>0</v>
      </c>
      <c r="N38" s="33"/>
      <c r="O38" s="33">
        <v>7999999</v>
      </c>
      <c r="P38" s="34"/>
      <c r="Q38" s="33">
        <v>0</v>
      </c>
      <c r="R38" s="33"/>
      <c r="S38" s="33">
        <v>7999999</v>
      </c>
      <c r="T38" s="35"/>
      <c r="U38" s="33">
        <v>0</v>
      </c>
      <c r="V38" s="33"/>
      <c r="W38" s="33">
        <v>7999999</v>
      </c>
    </row>
    <row r="39" spans="1:23">
      <c r="A39" s="36">
        <v>213608003000004</v>
      </c>
      <c r="D39" s="36" t="s">
        <v>94</v>
      </c>
      <c r="G39" s="33">
        <v>8000000</v>
      </c>
      <c r="H39" s="33"/>
      <c r="I39" s="33">
        <v>1</v>
      </c>
      <c r="J39" s="33"/>
      <c r="K39" s="33">
        <v>7999999</v>
      </c>
      <c r="L39" s="33"/>
      <c r="M39" s="33">
        <v>0</v>
      </c>
      <c r="N39" s="33"/>
      <c r="O39" s="33">
        <v>7999999</v>
      </c>
      <c r="P39" s="34"/>
      <c r="Q39" s="33">
        <v>0</v>
      </c>
      <c r="R39" s="33"/>
      <c r="S39" s="33">
        <v>7999999</v>
      </c>
      <c r="T39" s="35"/>
      <c r="U39" s="33">
        <v>0</v>
      </c>
      <c r="V39" s="33"/>
      <c r="W39" s="33">
        <v>7999999</v>
      </c>
    </row>
    <row r="40" spans="1:23">
      <c r="A40" s="36">
        <v>213608003000005</v>
      </c>
      <c r="D40" s="36" t="s">
        <v>208</v>
      </c>
      <c r="G40" s="33">
        <v>5000000</v>
      </c>
      <c r="H40" s="33"/>
      <c r="I40" s="33">
        <v>5000000</v>
      </c>
      <c r="J40" s="33"/>
      <c r="K40" s="33">
        <v>0</v>
      </c>
      <c r="L40" s="33"/>
      <c r="M40" s="33">
        <v>0</v>
      </c>
      <c r="N40" s="33"/>
      <c r="O40" s="33">
        <v>0</v>
      </c>
      <c r="P40" s="34"/>
      <c r="Q40" s="33">
        <v>0</v>
      </c>
      <c r="R40" s="33"/>
      <c r="S40" s="33">
        <v>0</v>
      </c>
      <c r="T40" s="35"/>
      <c r="U40" s="33">
        <v>0</v>
      </c>
      <c r="V40" s="33"/>
      <c r="W40" s="33">
        <v>0</v>
      </c>
    </row>
    <row r="41" spans="1:23">
      <c r="A41" s="36">
        <v>2.13608003000006E+16</v>
      </c>
      <c r="D41" s="36" t="s">
        <v>95</v>
      </c>
      <c r="G41" s="33">
        <v>1000000</v>
      </c>
      <c r="H41" s="33"/>
      <c r="I41" s="33">
        <v>1000000</v>
      </c>
      <c r="J41" s="33"/>
      <c r="K41" s="33">
        <v>0</v>
      </c>
      <c r="L41" s="33"/>
      <c r="M41" s="33">
        <v>0</v>
      </c>
      <c r="N41" s="33"/>
      <c r="O41" s="33">
        <v>0</v>
      </c>
      <c r="P41" s="34"/>
      <c r="Q41" s="33">
        <v>0</v>
      </c>
      <c r="R41" s="33"/>
      <c r="S41" s="33">
        <v>0</v>
      </c>
      <c r="T41" s="35"/>
      <c r="U41" s="33">
        <v>0</v>
      </c>
      <c r="V41" s="33"/>
      <c r="W41" s="33">
        <v>0</v>
      </c>
    </row>
    <row r="42" spans="1:23">
      <c r="A42" s="36">
        <v>213608007</v>
      </c>
      <c r="D42" s="36" t="s">
        <v>154</v>
      </c>
      <c r="G42" s="33">
        <v>220000000</v>
      </c>
      <c r="H42" s="33"/>
      <c r="I42" s="33">
        <v>64219321</v>
      </c>
      <c r="J42" s="33"/>
      <c r="K42" s="33">
        <v>155780679</v>
      </c>
      <c r="L42" s="33"/>
      <c r="M42" s="33">
        <v>984006</v>
      </c>
      <c r="N42" s="33"/>
      <c r="O42" s="33">
        <v>154796673</v>
      </c>
      <c r="P42" s="34"/>
      <c r="Q42" s="33">
        <v>14614681</v>
      </c>
      <c r="R42" s="33"/>
      <c r="S42" s="33">
        <v>140181992</v>
      </c>
      <c r="T42" s="35"/>
      <c r="U42" s="33">
        <v>0</v>
      </c>
      <c r="V42" s="33"/>
      <c r="W42" s="33">
        <v>140181992</v>
      </c>
    </row>
    <row r="43" spans="1:23">
      <c r="A43" s="36">
        <v>213608007000003</v>
      </c>
      <c r="D43" s="36" t="s">
        <v>155</v>
      </c>
      <c r="G43" s="33">
        <v>44800000</v>
      </c>
      <c r="H43" s="33"/>
      <c r="I43" s="33">
        <v>251354</v>
      </c>
      <c r="J43" s="33"/>
      <c r="K43" s="33">
        <v>44548646</v>
      </c>
      <c r="L43" s="33"/>
      <c r="M43" s="33">
        <v>1</v>
      </c>
      <c r="N43" s="33"/>
      <c r="O43" s="33">
        <v>44548645</v>
      </c>
      <c r="P43" s="34"/>
      <c r="Q43" s="33">
        <v>14614681</v>
      </c>
      <c r="R43" s="33"/>
      <c r="S43" s="33">
        <v>29933964</v>
      </c>
      <c r="T43" s="35"/>
      <c r="U43" s="33">
        <v>0</v>
      </c>
      <c r="V43" s="33"/>
      <c r="W43" s="33">
        <v>29933964</v>
      </c>
    </row>
    <row r="44" spans="1:23">
      <c r="A44" s="36">
        <v>213608007000004</v>
      </c>
      <c r="D44" s="36" t="s">
        <v>156</v>
      </c>
      <c r="G44" s="33">
        <v>30000000</v>
      </c>
      <c r="H44" s="33"/>
      <c r="I44" s="33">
        <v>26395</v>
      </c>
      <c r="J44" s="33"/>
      <c r="K44" s="33">
        <v>29973605</v>
      </c>
      <c r="L44" s="33"/>
      <c r="M44" s="33">
        <v>0</v>
      </c>
      <c r="N44" s="33"/>
      <c r="O44" s="33">
        <v>29973605</v>
      </c>
      <c r="P44" s="34"/>
      <c r="Q44" s="33">
        <v>0</v>
      </c>
      <c r="R44" s="33"/>
      <c r="S44" s="33">
        <v>29973605</v>
      </c>
      <c r="T44" s="35"/>
      <c r="U44" s="33">
        <v>0</v>
      </c>
      <c r="V44" s="33"/>
      <c r="W44" s="33">
        <v>29973605</v>
      </c>
    </row>
    <row r="45" spans="1:23">
      <c r="A45" s="36">
        <v>213608007000006</v>
      </c>
      <c r="D45" s="36" t="s">
        <v>209</v>
      </c>
      <c r="G45" s="33">
        <v>45200000</v>
      </c>
      <c r="H45" s="33"/>
      <c r="I45" s="33">
        <v>43358632</v>
      </c>
      <c r="J45" s="33"/>
      <c r="K45" s="33">
        <v>1841368</v>
      </c>
      <c r="L45" s="33"/>
      <c r="M45" s="33">
        <v>903600</v>
      </c>
      <c r="N45" s="33"/>
      <c r="O45" s="33">
        <v>937768</v>
      </c>
      <c r="P45" s="34"/>
      <c r="Q45" s="33">
        <v>0</v>
      </c>
      <c r="R45" s="33"/>
      <c r="S45" s="33">
        <v>937768</v>
      </c>
      <c r="T45" s="35"/>
      <c r="U45" s="33">
        <v>0</v>
      </c>
      <c r="V45" s="33"/>
      <c r="W45" s="33">
        <v>937768</v>
      </c>
    </row>
    <row r="46" spans="1:23">
      <c r="A46" s="36">
        <v>2136080070000060</v>
      </c>
      <c r="D46" s="36" t="s">
        <v>92</v>
      </c>
      <c r="G46" s="33">
        <v>45200000</v>
      </c>
      <c r="H46" s="33"/>
      <c r="I46" s="33">
        <v>43358632</v>
      </c>
      <c r="J46" s="33"/>
      <c r="K46" s="33">
        <v>1841368</v>
      </c>
      <c r="L46" s="33"/>
      <c r="M46" s="33">
        <v>903600</v>
      </c>
      <c r="N46" s="33"/>
      <c r="O46" s="33">
        <v>937768</v>
      </c>
      <c r="P46" s="34"/>
      <c r="Q46" s="33">
        <v>0</v>
      </c>
      <c r="R46" s="33"/>
      <c r="S46" s="33">
        <v>937768</v>
      </c>
      <c r="T46" s="35"/>
      <c r="U46" s="33">
        <v>0</v>
      </c>
      <c r="V46" s="33"/>
      <c r="W46" s="33">
        <v>937768</v>
      </c>
    </row>
    <row r="47" spans="1:23">
      <c r="A47" s="36">
        <v>2.13608007000006E+16</v>
      </c>
      <c r="D47" s="36" t="s">
        <v>157</v>
      </c>
      <c r="G47" s="33">
        <v>45200000</v>
      </c>
      <c r="H47" s="33"/>
      <c r="I47" s="33">
        <v>43358632</v>
      </c>
      <c r="J47" s="33"/>
      <c r="K47" s="33">
        <v>1841368</v>
      </c>
      <c r="L47" s="33"/>
      <c r="M47" s="33">
        <v>903600</v>
      </c>
      <c r="N47" s="33"/>
      <c r="O47" s="33">
        <v>937768</v>
      </c>
      <c r="P47" s="34"/>
      <c r="Q47" s="33">
        <v>0</v>
      </c>
      <c r="R47" s="33"/>
      <c r="S47" s="33">
        <v>937768</v>
      </c>
      <c r="T47" s="35"/>
      <c r="U47" s="33">
        <v>0</v>
      </c>
      <c r="V47" s="33"/>
      <c r="W47" s="33">
        <v>937768</v>
      </c>
    </row>
    <row r="48" spans="1:23">
      <c r="A48" s="36">
        <v>213608007000009</v>
      </c>
      <c r="D48" s="36" t="s">
        <v>158</v>
      </c>
      <c r="G48" s="33">
        <v>20000000</v>
      </c>
      <c r="H48" s="33"/>
      <c r="I48" s="33">
        <v>4888596</v>
      </c>
      <c r="J48" s="33"/>
      <c r="K48" s="33">
        <v>15111404</v>
      </c>
      <c r="L48" s="33"/>
      <c r="M48" s="33">
        <v>80404</v>
      </c>
      <c r="N48" s="33"/>
      <c r="O48" s="33">
        <v>15031000</v>
      </c>
      <c r="P48" s="34"/>
      <c r="Q48" s="33">
        <v>0</v>
      </c>
      <c r="R48" s="33"/>
      <c r="S48" s="33">
        <v>15031000</v>
      </c>
      <c r="T48" s="35"/>
      <c r="U48" s="33">
        <v>0</v>
      </c>
      <c r="V48" s="33"/>
      <c r="W48" s="33">
        <v>15031000</v>
      </c>
    </row>
    <row r="49" spans="1:23">
      <c r="A49" s="36">
        <v>213608007000010</v>
      </c>
      <c r="D49" s="36" t="s">
        <v>159</v>
      </c>
      <c r="G49" s="33">
        <v>80000000</v>
      </c>
      <c r="H49" s="33"/>
      <c r="I49" s="33">
        <v>15694344</v>
      </c>
      <c r="J49" s="33"/>
      <c r="K49" s="33">
        <v>64305656</v>
      </c>
      <c r="L49" s="33"/>
      <c r="M49" s="33">
        <v>1</v>
      </c>
      <c r="N49" s="33"/>
      <c r="O49" s="33">
        <v>64305655</v>
      </c>
      <c r="P49" s="34"/>
      <c r="Q49" s="33">
        <v>0</v>
      </c>
      <c r="R49" s="33"/>
      <c r="S49" s="33">
        <v>64305655</v>
      </c>
      <c r="T49" s="35"/>
      <c r="U49" s="33">
        <v>0</v>
      </c>
      <c r="V49" s="33"/>
      <c r="W49" s="33">
        <v>64305655</v>
      </c>
    </row>
    <row r="50" spans="1:23">
      <c r="A50" s="36">
        <v>213608010</v>
      </c>
      <c r="D50" s="36" t="s">
        <v>88</v>
      </c>
      <c r="G50" s="33">
        <v>303077000</v>
      </c>
      <c r="H50" s="33"/>
      <c r="I50" s="33">
        <v>11319936</v>
      </c>
      <c r="J50" s="33"/>
      <c r="K50" s="33">
        <v>291757064</v>
      </c>
      <c r="L50" s="33"/>
      <c r="M50" s="33">
        <v>3012003</v>
      </c>
      <c r="N50" s="33"/>
      <c r="O50" s="33">
        <v>288745061</v>
      </c>
      <c r="P50" s="34"/>
      <c r="Q50" s="33">
        <v>99868699</v>
      </c>
      <c r="R50" s="33"/>
      <c r="S50" s="33">
        <v>188876362</v>
      </c>
      <c r="T50" s="35"/>
      <c r="U50" s="33">
        <v>0</v>
      </c>
      <c r="V50" s="33"/>
      <c r="W50" s="33">
        <v>188876362</v>
      </c>
    </row>
    <row r="51" spans="1:23">
      <c r="A51" s="36">
        <v>213608010000001</v>
      </c>
      <c r="D51" s="36" t="s">
        <v>148</v>
      </c>
      <c r="G51" s="33">
        <v>0</v>
      </c>
      <c r="H51" s="33"/>
      <c r="I51" s="33">
        <v>0</v>
      </c>
      <c r="J51" s="33"/>
      <c r="K51" s="33">
        <v>0</v>
      </c>
      <c r="L51" s="33"/>
      <c r="M51" s="33">
        <v>0</v>
      </c>
      <c r="N51" s="33"/>
      <c r="O51" s="33">
        <v>0</v>
      </c>
      <c r="P51" s="34"/>
      <c r="Q51" s="33">
        <v>0</v>
      </c>
      <c r="R51" s="33"/>
      <c r="S51" s="33">
        <v>0</v>
      </c>
      <c r="T51" s="35"/>
      <c r="U51" s="33">
        <v>0</v>
      </c>
      <c r="V51" s="33"/>
      <c r="W51" s="33">
        <v>0</v>
      </c>
    </row>
    <row r="52" spans="1:23">
      <c r="A52" s="36">
        <v>213608010000004</v>
      </c>
      <c r="D52" s="36" t="s">
        <v>149</v>
      </c>
      <c r="G52" s="33">
        <v>103077000</v>
      </c>
      <c r="H52" s="33"/>
      <c r="I52" s="33">
        <v>6046351</v>
      </c>
      <c r="J52" s="33"/>
      <c r="K52" s="33">
        <v>97030649</v>
      </c>
      <c r="L52" s="33"/>
      <c r="M52" s="33">
        <v>1</v>
      </c>
      <c r="N52" s="33"/>
      <c r="O52" s="33">
        <v>97030648</v>
      </c>
      <c r="P52" s="34"/>
      <c r="Q52" s="33">
        <v>21720391</v>
      </c>
      <c r="R52" s="33"/>
      <c r="S52" s="33">
        <v>75310257</v>
      </c>
      <c r="T52" s="35"/>
      <c r="U52" s="33">
        <v>0</v>
      </c>
      <c r="V52" s="33"/>
      <c r="W52" s="33">
        <v>75310257</v>
      </c>
    </row>
    <row r="53" spans="1:23">
      <c r="A53" s="36">
        <v>213608010000005</v>
      </c>
      <c r="D53" s="36" t="s">
        <v>178</v>
      </c>
      <c r="G53" s="33">
        <v>151000000</v>
      </c>
      <c r="H53" s="33"/>
      <c r="I53" s="33">
        <v>3827979</v>
      </c>
      <c r="J53" s="33"/>
      <c r="K53" s="33">
        <v>147172021</v>
      </c>
      <c r="L53" s="33"/>
      <c r="M53" s="33">
        <v>3012002</v>
      </c>
      <c r="N53" s="33"/>
      <c r="O53" s="33">
        <v>144160019</v>
      </c>
      <c r="P53" s="34"/>
      <c r="Q53" s="33">
        <v>36120052</v>
      </c>
      <c r="R53" s="33"/>
      <c r="S53" s="33">
        <v>108039967</v>
      </c>
      <c r="T53" s="35"/>
      <c r="U53" s="33">
        <v>0</v>
      </c>
      <c r="V53" s="33"/>
      <c r="W53" s="33">
        <v>108039967</v>
      </c>
    </row>
    <row r="54" spans="1:23">
      <c r="A54" s="36">
        <v>2136080100000050</v>
      </c>
      <c r="D54" s="36" t="s">
        <v>92</v>
      </c>
      <c r="G54" s="33">
        <v>151000000</v>
      </c>
      <c r="H54" s="33"/>
      <c r="I54" s="33">
        <v>3827979</v>
      </c>
      <c r="J54" s="33"/>
      <c r="K54" s="33">
        <v>147172021</v>
      </c>
      <c r="L54" s="33"/>
      <c r="M54" s="33">
        <v>3012002</v>
      </c>
      <c r="N54" s="33"/>
      <c r="O54" s="33">
        <v>144160019</v>
      </c>
      <c r="P54" s="34"/>
      <c r="Q54" s="33">
        <v>36120052</v>
      </c>
      <c r="R54" s="33"/>
      <c r="S54" s="33">
        <v>108039967</v>
      </c>
      <c r="T54" s="35"/>
      <c r="U54" s="33">
        <v>0</v>
      </c>
      <c r="V54" s="33"/>
      <c r="W54" s="33">
        <v>108039967</v>
      </c>
    </row>
    <row r="55" spans="1:23">
      <c r="A55" s="36">
        <v>2.13608010000005E+16</v>
      </c>
      <c r="D55" s="36" t="s">
        <v>150</v>
      </c>
      <c r="G55" s="33">
        <v>25000000</v>
      </c>
      <c r="H55" s="33"/>
      <c r="I55" s="33">
        <v>1003</v>
      </c>
      <c r="J55" s="33"/>
      <c r="K55" s="33">
        <v>24998997</v>
      </c>
      <c r="L55" s="33"/>
      <c r="M55" s="33">
        <v>0</v>
      </c>
      <c r="N55" s="33"/>
      <c r="O55" s="33">
        <v>24998997</v>
      </c>
      <c r="P55" s="34"/>
      <c r="Q55" s="33">
        <v>16204708</v>
      </c>
      <c r="R55" s="33"/>
      <c r="S55" s="33">
        <v>8794289</v>
      </c>
      <c r="T55" s="35"/>
      <c r="U55" s="33">
        <v>0</v>
      </c>
      <c r="V55" s="33"/>
      <c r="W55" s="33">
        <v>8794289</v>
      </c>
    </row>
    <row r="56" spans="1:23">
      <c r="A56" s="36">
        <v>2.13608010000005E+16</v>
      </c>
      <c r="D56" s="36" t="s">
        <v>151</v>
      </c>
      <c r="G56" s="33">
        <v>100000000</v>
      </c>
      <c r="H56" s="33"/>
      <c r="I56" s="33">
        <v>3726319</v>
      </c>
      <c r="J56" s="33"/>
      <c r="K56" s="33">
        <v>96273681</v>
      </c>
      <c r="L56" s="33"/>
      <c r="M56" s="33">
        <v>3012002</v>
      </c>
      <c r="N56" s="33"/>
      <c r="O56" s="33">
        <v>93261679</v>
      </c>
      <c r="P56" s="34"/>
      <c r="Q56" s="33">
        <v>0</v>
      </c>
      <c r="R56" s="33"/>
      <c r="S56" s="33">
        <v>93261679</v>
      </c>
      <c r="T56" s="35"/>
      <c r="U56" s="33">
        <v>0</v>
      </c>
      <c r="V56" s="33"/>
      <c r="W56" s="33">
        <v>93261679</v>
      </c>
    </row>
    <row r="57" spans="1:23">
      <c r="A57" s="36">
        <v>2.13608010000005E+16</v>
      </c>
      <c r="D57" s="36" t="s">
        <v>152</v>
      </c>
      <c r="G57" s="33">
        <v>6000000</v>
      </c>
      <c r="H57" s="33"/>
      <c r="I57" s="33">
        <v>16001</v>
      </c>
      <c r="J57" s="33"/>
      <c r="K57" s="33">
        <v>5983999</v>
      </c>
      <c r="L57" s="33"/>
      <c r="M57" s="33">
        <v>0</v>
      </c>
      <c r="N57" s="33"/>
      <c r="O57" s="33">
        <v>5983999</v>
      </c>
      <c r="P57" s="34"/>
      <c r="Q57" s="33">
        <v>0</v>
      </c>
      <c r="R57" s="33"/>
      <c r="S57" s="33">
        <v>5983999</v>
      </c>
      <c r="T57" s="35"/>
      <c r="U57" s="33">
        <v>0</v>
      </c>
      <c r="V57" s="33"/>
      <c r="W57" s="33">
        <v>5983999</v>
      </c>
    </row>
    <row r="58" spans="1:23">
      <c r="A58" s="36">
        <v>2.13608010000005E+16</v>
      </c>
      <c r="D58" s="36" t="s">
        <v>166</v>
      </c>
      <c r="G58" s="33">
        <v>20000000</v>
      </c>
      <c r="H58" s="33"/>
      <c r="I58" s="33">
        <v>84656</v>
      </c>
      <c r="J58" s="33"/>
      <c r="K58" s="33">
        <v>19915344</v>
      </c>
      <c r="L58" s="33"/>
      <c r="M58" s="33">
        <v>0</v>
      </c>
      <c r="N58" s="33"/>
      <c r="O58" s="33">
        <v>19915344</v>
      </c>
      <c r="P58" s="34"/>
      <c r="Q58" s="33">
        <v>19915344</v>
      </c>
      <c r="R58" s="33"/>
      <c r="S58" s="33">
        <v>0</v>
      </c>
      <c r="T58" s="35"/>
      <c r="U58" s="33">
        <v>0</v>
      </c>
      <c r="V58" s="33"/>
      <c r="W58" s="33">
        <v>0</v>
      </c>
    </row>
    <row r="59" spans="1:23">
      <c r="A59" s="36">
        <v>213608010000007</v>
      </c>
      <c r="D59" s="36" t="s">
        <v>153</v>
      </c>
      <c r="G59" s="33">
        <v>29000000</v>
      </c>
      <c r="H59" s="33"/>
      <c r="I59" s="33">
        <v>0</v>
      </c>
      <c r="J59" s="33"/>
      <c r="K59" s="33">
        <v>29000000</v>
      </c>
      <c r="L59" s="33"/>
      <c r="M59" s="33">
        <v>0</v>
      </c>
      <c r="N59" s="33"/>
      <c r="O59" s="33">
        <v>29000000</v>
      </c>
      <c r="P59" s="34"/>
      <c r="Q59" s="33">
        <v>23473862</v>
      </c>
      <c r="R59" s="33"/>
      <c r="S59" s="33">
        <v>5526138</v>
      </c>
      <c r="T59" s="35"/>
      <c r="U59" s="33">
        <v>0</v>
      </c>
      <c r="V59" s="33"/>
      <c r="W59" s="33">
        <v>5526138</v>
      </c>
    </row>
    <row r="60" spans="1:23">
      <c r="A60" s="36">
        <v>213608010000010</v>
      </c>
      <c r="D60" s="36" t="s">
        <v>184</v>
      </c>
      <c r="G60" s="33">
        <v>20000000</v>
      </c>
      <c r="H60" s="33"/>
      <c r="I60" s="33">
        <v>1445606</v>
      </c>
      <c r="J60" s="33"/>
      <c r="K60" s="33">
        <v>18554394</v>
      </c>
      <c r="L60" s="33"/>
      <c r="M60" s="33">
        <v>0</v>
      </c>
      <c r="N60" s="33"/>
      <c r="O60" s="33">
        <v>18554394</v>
      </c>
      <c r="P60" s="34"/>
      <c r="Q60" s="33">
        <v>18554394</v>
      </c>
      <c r="R60" s="33"/>
      <c r="S60" s="33">
        <v>0</v>
      </c>
      <c r="T60" s="35"/>
      <c r="U60" s="33">
        <v>0</v>
      </c>
      <c r="V60" s="33"/>
      <c r="W60" s="33">
        <v>0</v>
      </c>
    </row>
    <row r="61" spans="1:23">
      <c r="A61" s="36">
        <v>320608001</v>
      </c>
      <c r="D61" s="36" t="s">
        <v>96</v>
      </c>
      <c r="G61" s="33">
        <v>268000000</v>
      </c>
      <c r="H61" s="33"/>
      <c r="I61" s="33">
        <v>19047188</v>
      </c>
      <c r="J61" s="33"/>
      <c r="K61" s="33">
        <v>248952812</v>
      </c>
      <c r="L61" s="33"/>
      <c r="M61" s="33">
        <v>10065438</v>
      </c>
      <c r="N61" s="33"/>
      <c r="O61" s="33">
        <v>238887374</v>
      </c>
      <c r="P61" s="34"/>
      <c r="Q61" s="33">
        <v>83782941</v>
      </c>
      <c r="R61" s="33"/>
      <c r="S61" s="33">
        <v>155104433</v>
      </c>
      <c r="T61" s="35"/>
      <c r="U61" s="33">
        <v>0</v>
      </c>
      <c r="V61" s="33"/>
      <c r="W61" s="33">
        <v>155104433</v>
      </c>
    </row>
    <row r="62" spans="1:23">
      <c r="A62" s="36">
        <v>320608001000001</v>
      </c>
      <c r="D62" s="36" t="s">
        <v>210</v>
      </c>
      <c r="G62" s="33">
        <v>43000000</v>
      </c>
      <c r="H62" s="33"/>
      <c r="I62" s="33">
        <v>3542006</v>
      </c>
      <c r="J62" s="33"/>
      <c r="K62" s="33">
        <v>39457994</v>
      </c>
      <c r="L62" s="33"/>
      <c r="M62" s="33">
        <v>0</v>
      </c>
      <c r="N62" s="33"/>
      <c r="O62" s="33">
        <v>39457994</v>
      </c>
      <c r="P62" s="34"/>
      <c r="Q62" s="33">
        <v>3118932</v>
      </c>
      <c r="R62" s="33"/>
      <c r="S62" s="33">
        <v>36339062</v>
      </c>
      <c r="T62" s="35"/>
      <c r="U62" s="33">
        <v>0</v>
      </c>
      <c r="V62" s="33"/>
      <c r="W62" s="33">
        <v>36339062</v>
      </c>
    </row>
    <row r="63" spans="1:23">
      <c r="A63" s="36">
        <v>3.20608001000001E+16</v>
      </c>
      <c r="D63" s="36" t="s">
        <v>97</v>
      </c>
      <c r="G63" s="33">
        <v>5000000</v>
      </c>
      <c r="H63" s="33"/>
      <c r="I63" s="33">
        <v>532441</v>
      </c>
      <c r="J63" s="33"/>
      <c r="K63" s="33">
        <v>4467559</v>
      </c>
      <c r="L63" s="33"/>
      <c r="M63" s="33">
        <v>0</v>
      </c>
      <c r="N63" s="33"/>
      <c r="O63" s="33">
        <v>4467559</v>
      </c>
      <c r="P63" s="34"/>
      <c r="Q63" s="33">
        <v>2978372</v>
      </c>
      <c r="R63" s="33"/>
      <c r="S63" s="33">
        <v>1489187</v>
      </c>
      <c r="T63" s="35"/>
      <c r="U63" s="33">
        <v>0</v>
      </c>
      <c r="V63" s="33"/>
      <c r="W63" s="33">
        <v>1489187</v>
      </c>
    </row>
    <row r="64" spans="1:23">
      <c r="A64" s="36">
        <v>3.20608001000001E+16</v>
      </c>
      <c r="D64" s="36" t="s">
        <v>182</v>
      </c>
      <c r="G64" s="33">
        <v>3000000</v>
      </c>
      <c r="H64" s="33"/>
      <c r="I64" s="33">
        <v>3000000</v>
      </c>
      <c r="J64" s="33"/>
      <c r="K64" s="33">
        <v>0</v>
      </c>
      <c r="L64" s="33"/>
      <c r="M64" s="33">
        <v>0</v>
      </c>
      <c r="N64" s="33"/>
      <c r="O64" s="33">
        <v>0</v>
      </c>
      <c r="P64" s="34"/>
      <c r="Q64" s="33">
        <v>0</v>
      </c>
      <c r="R64" s="33"/>
      <c r="S64" s="33">
        <v>0</v>
      </c>
      <c r="T64" s="35"/>
      <c r="U64" s="33">
        <v>0</v>
      </c>
      <c r="V64" s="33"/>
      <c r="W64" s="33">
        <v>0</v>
      </c>
    </row>
    <row r="65" spans="1:23">
      <c r="A65" s="36">
        <v>3.20608001000001E+16</v>
      </c>
      <c r="D65" s="36" t="s">
        <v>211</v>
      </c>
      <c r="G65" s="33">
        <v>10000000</v>
      </c>
      <c r="H65" s="33"/>
      <c r="I65" s="33">
        <v>160</v>
      </c>
      <c r="J65" s="33"/>
      <c r="K65" s="33">
        <v>9999840</v>
      </c>
      <c r="L65" s="33"/>
      <c r="M65" s="33">
        <v>0</v>
      </c>
      <c r="N65" s="33"/>
      <c r="O65" s="33">
        <v>9999840</v>
      </c>
      <c r="P65" s="34"/>
      <c r="Q65" s="33">
        <v>140560</v>
      </c>
      <c r="R65" s="33"/>
      <c r="S65" s="33">
        <v>9859280</v>
      </c>
      <c r="T65" s="35"/>
      <c r="U65" s="33">
        <v>0</v>
      </c>
      <c r="V65" s="33"/>
      <c r="W65" s="33">
        <v>9859280</v>
      </c>
    </row>
    <row r="66" spans="1:23">
      <c r="A66" s="36">
        <v>320608001000002</v>
      </c>
      <c r="D66" s="36" t="s">
        <v>212</v>
      </c>
      <c r="G66" s="33">
        <v>13000000</v>
      </c>
      <c r="H66" s="33"/>
      <c r="I66" s="33">
        <v>3371267</v>
      </c>
      <c r="J66" s="33"/>
      <c r="K66" s="33">
        <v>9628733</v>
      </c>
      <c r="L66" s="33"/>
      <c r="M66" s="33">
        <v>1</v>
      </c>
      <c r="N66" s="33"/>
      <c r="O66" s="33">
        <v>9628732</v>
      </c>
      <c r="P66" s="34"/>
      <c r="Q66" s="33">
        <v>0</v>
      </c>
      <c r="R66" s="33"/>
      <c r="S66" s="33">
        <v>9628732</v>
      </c>
      <c r="T66" s="35"/>
      <c r="U66" s="33">
        <v>0</v>
      </c>
      <c r="V66" s="33"/>
      <c r="W66" s="33">
        <v>9628732</v>
      </c>
    </row>
    <row r="67" spans="1:23">
      <c r="A67" s="36">
        <v>3.20608001000002E+16</v>
      </c>
      <c r="D67" s="36" t="s">
        <v>98</v>
      </c>
      <c r="G67" s="33">
        <v>3000000</v>
      </c>
      <c r="H67" s="33"/>
      <c r="I67" s="33">
        <v>3000000</v>
      </c>
      <c r="J67" s="33"/>
      <c r="K67" s="33">
        <v>0</v>
      </c>
      <c r="L67" s="33"/>
      <c r="M67" s="33">
        <v>0</v>
      </c>
      <c r="N67" s="33"/>
      <c r="O67" s="33">
        <v>0</v>
      </c>
      <c r="P67" s="34"/>
      <c r="Q67" s="33">
        <v>0</v>
      </c>
      <c r="R67" s="33"/>
      <c r="S67" s="33">
        <v>0</v>
      </c>
      <c r="T67" s="35"/>
      <c r="U67" s="33">
        <v>0</v>
      </c>
      <c r="V67" s="33"/>
      <c r="W67" s="33">
        <v>0</v>
      </c>
    </row>
    <row r="68" spans="1:23">
      <c r="A68" s="36">
        <v>3.20608001000002E+16</v>
      </c>
      <c r="D68" s="36" t="s">
        <v>99</v>
      </c>
      <c r="G68" s="33">
        <v>10000000</v>
      </c>
      <c r="H68" s="33"/>
      <c r="I68" s="33">
        <v>371267</v>
      </c>
      <c r="J68" s="33"/>
      <c r="K68" s="33">
        <v>9628733</v>
      </c>
      <c r="L68" s="33"/>
      <c r="M68" s="33">
        <v>1</v>
      </c>
      <c r="N68" s="33"/>
      <c r="O68" s="33">
        <v>9628732</v>
      </c>
      <c r="P68" s="34"/>
      <c r="Q68" s="33">
        <v>0</v>
      </c>
      <c r="R68" s="33"/>
      <c r="S68" s="33">
        <v>9628732</v>
      </c>
      <c r="T68" s="35"/>
      <c r="U68" s="33">
        <v>0</v>
      </c>
      <c r="V68" s="33"/>
      <c r="W68" s="33">
        <v>9628732</v>
      </c>
    </row>
    <row r="69" spans="1:23">
      <c r="A69" s="36">
        <v>320608001000003</v>
      </c>
      <c r="D69" s="36" t="s">
        <v>213</v>
      </c>
      <c r="G69" s="33">
        <v>3000000</v>
      </c>
      <c r="H69" s="33"/>
      <c r="I69" s="33">
        <v>3000000</v>
      </c>
      <c r="J69" s="33"/>
      <c r="K69" s="33">
        <v>0</v>
      </c>
      <c r="L69" s="33"/>
      <c r="M69" s="33">
        <v>0</v>
      </c>
      <c r="N69" s="33"/>
      <c r="O69" s="33">
        <v>0</v>
      </c>
      <c r="P69" s="34"/>
      <c r="Q69" s="33">
        <v>0</v>
      </c>
      <c r="R69" s="33"/>
      <c r="S69" s="33">
        <v>0</v>
      </c>
      <c r="T69" s="35"/>
      <c r="U69" s="33">
        <v>0</v>
      </c>
      <c r="V69" s="33"/>
      <c r="W69" s="33">
        <v>0</v>
      </c>
    </row>
    <row r="70" spans="1:23">
      <c r="A70" s="36">
        <v>3.20608001000003E+16</v>
      </c>
      <c r="D70" s="36" t="s">
        <v>100</v>
      </c>
      <c r="G70" s="33">
        <v>3000000</v>
      </c>
      <c r="H70" s="33"/>
      <c r="I70" s="33">
        <v>3000000</v>
      </c>
      <c r="J70" s="33"/>
      <c r="K70" s="33">
        <v>0</v>
      </c>
      <c r="L70" s="33"/>
      <c r="M70" s="33">
        <v>0</v>
      </c>
      <c r="N70" s="33"/>
      <c r="O70" s="33">
        <v>0</v>
      </c>
      <c r="P70" s="34"/>
      <c r="Q70" s="33">
        <v>0</v>
      </c>
      <c r="R70" s="33"/>
      <c r="S70" s="33">
        <v>0</v>
      </c>
      <c r="T70" s="35"/>
      <c r="U70" s="33">
        <v>0</v>
      </c>
      <c r="V70" s="33"/>
      <c r="W70" s="33">
        <v>0</v>
      </c>
    </row>
    <row r="71" spans="1:23">
      <c r="A71" s="36">
        <v>320608001000004</v>
      </c>
      <c r="D71" s="36" t="s">
        <v>101</v>
      </c>
      <c r="G71" s="33">
        <v>36000000</v>
      </c>
      <c r="H71" s="33"/>
      <c r="I71" s="33">
        <v>808</v>
      </c>
      <c r="J71" s="33"/>
      <c r="K71" s="33">
        <v>35999192</v>
      </c>
      <c r="L71" s="33"/>
      <c r="M71" s="33">
        <v>2294</v>
      </c>
      <c r="N71" s="33"/>
      <c r="O71" s="33">
        <v>35996898</v>
      </c>
      <c r="P71" s="34"/>
      <c r="Q71" s="33">
        <v>878027</v>
      </c>
      <c r="R71" s="33"/>
      <c r="S71" s="33">
        <v>35118871</v>
      </c>
      <c r="T71" s="35"/>
      <c r="U71" s="33">
        <v>0</v>
      </c>
      <c r="V71" s="33"/>
      <c r="W71" s="33">
        <v>35118871</v>
      </c>
    </row>
    <row r="72" spans="1:23">
      <c r="A72" s="36">
        <v>320608001000005</v>
      </c>
      <c r="B72" s="36">
        <v>300</v>
      </c>
      <c r="D72" s="36" t="s">
        <v>33</v>
      </c>
      <c r="G72" s="33">
        <v>36000000</v>
      </c>
      <c r="H72" s="33"/>
      <c r="I72" s="33">
        <v>808</v>
      </c>
      <c r="J72" s="33"/>
      <c r="K72" s="33">
        <v>35999192</v>
      </c>
      <c r="L72" s="33"/>
      <c r="M72" s="33">
        <v>2294</v>
      </c>
      <c r="N72" s="33"/>
      <c r="O72" s="33">
        <v>35996898</v>
      </c>
      <c r="P72" s="34"/>
      <c r="Q72" s="33">
        <v>878027</v>
      </c>
      <c r="R72" s="33"/>
      <c r="S72" s="33">
        <v>35118871</v>
      </c>
      <c r="T72" s="35"/>
      <c r="U72" s="33">
        <v>0</v>
      </c>
      <c r="V72" s="33"/>
      <c r="W72" s="33">
        <v>35118871</v>
      </c>
    </row>
    <row r="73" spans="1:23">
      <c r="A73" s="36">
        <v>320608001000006</v>
      </c>
      <c r="C73" s="36">
        <v>20</v>
      </c>
      <c r="D73" s="36" t="s">
        <v>206</v>
      </c>
      <c r="G73" s="33">
        <v>36000000</v>
      </c>
      <c r="H73" s="33"/>
      <c r="I73" s="33">
        <v>808</v>
      </c>
      <c r="J73" s="33"/>
      <c r="K73" s="33">
        <v>35999192</v>
      </c>
      <c r="L73" s="33"/>
      <c r="M73" s="33">
        <v>2294</v>
      </c>
      <c r="N73" s="33"/>
      <c r="O73" s="33">
        <v>35996898</v>
      </c>
      <c r="P73" s="34"/>
      <c r="Q73" s="33">
        <v>878027</v>
      </c>
      <c r="R73" s="33"/>
      <c r="S73" s="33">
        <v>35118871</v>
      </c>
      <c r="T73" s="35"/>
      <c r="U73" s="33">
        <v>0</v>
      </c>
      <c r="V73" s="33"/>
      <c r="W73" s="33">
        <v>35118871</v>
      </c>
    </row>
    <row r="74" spans="1:23">
      <c r="A74" s="36">
        <v>320608001000007</v>
      </c>
      <c r="D74" s="36" t="s">
        <v>102</v>
      </c>
      <c r="G74" s="33">
        <v>32000000</v>
      </c>
      <c r="H74" s="33"/>
      <c r="I74" s="33">
        <v>514</v>
      </c>
      <c r="J74" s="33"/>
      <c r="K74" s="33">
        <v>31999486</v>
      </c>
      <c r="L74" s="33"/>
      <c r="M74" s="33">
        <v>60290</v>
      </c>
      <c r="N74" s="33"/>
      <c r="O74" s="33">
        <v>31939196</v>
      </c>
      <c r="P74" s="34"/>
      <c r="Q74" s="33">
        <v>30272556</v>
      </c>
      <c r="R74" s="33"/>
      <c r="S74" s="33">
        <v>1666640</v>
      </c>
      <c r="T74" s="35"/>
      <c r="U74" s="33">
        <v>0</v>
      </c>
      <c r="V74" s="33"/>
      <c r="W74" s="33">
        <v>1666640</v>
      </c>
    </row>
    <row r="75" spans="1:23">
      <c r="A75" s="36">
        <v>320608001000008</v>
      </c>
      <c r="B75" s="36">
        <v>300</v>
      </c>
      <c r="D75" s="36" t="s">
        <v>33</v>
      </c>
      <c r="G75" s="33">
        <v>32000000</v>
      </c>
      <c r="H75" s="33"/>
      <c r="I75" s="33">
        <v>514</v>
      </c>
      <c r="J75" s="33"/>
      <c r="K75" s="33">
        <v>31999486</v>
      </c>
      <c r="L75" s="33"/>
      <c r="M75" s="33">
        <v>60290</v>
      </c>
      <c r="N75" s="33"/>
      <c r="O75" s="33">
        <v>31939196</v>
      </c>
      <c r="P75" s="34"/>
      <c r="Q75" s="33">
        <v>30272556</v>
      </c>
      <c r="R75" s="33"/>
      <c r="S75" s="33">
        <v>1666640</v>
      </c>
      <c r="T75" s="35"/>
      <c r="U75" s="33">
        <v>0</v>
      </c>
      <c r="V75" s="33"/>
      <c r="W75" s="33">
        <v>1666640</v>
      </c>
    </row>
    <row r="76" spans="1:23">
      <c r="A76" s="36">
        <v>320608001000009</v>
      </c>
      <c r="C76" s="36">
        <v>20</v>
      </c>
      <c r="D76" s="36" t="s">
        <v>206</v>
      </c>
      <c r="G76" s="33">
        <v>32000000</v>
      </c>
      <c r="H76" s="33"/>
      <c r="I76" s="33">
        <v>514</v>
      </c>
      <c r="J76" s="33"/>
      <c r="K76" s="33">
        <v>31999486</v>
      </c>
      <c r="L76" s="33"/>
      <c r="M76" s="33">
        <v>60290</v>
      </c>
      <c r="N76" s="33"/>
      <c r="O76" s="33">
        <v>31939196</v>
      </c>
      <c r="P76" s="34"/>
      <c r="Q76" s="33">
        <v>30272556</v>
      </c>
      <c r="R76" s="33"/>
      <c r="S76" s="33">
        <v>1666640</v>
      </c>
      <c r="T76" s="35"/>
      <c r="U76" s="33">
        <v>0</v>
      </c>
      <c r="V76" s="33"/>
      <c r="W76" s="33">
        <v>1666640</v>
      </c>
    </row>
    <row r="77" spans="1:23">
      <c r="A77" s="36">
        <v>320608001000010</v>
      </c>
      <c r="D77" s="36" t="s">
        <v>214</v>
      </c>
      <c r="G77" s="33">
        <v>0</v>
      </c>
      <c r="H77" s="33"/>
      <c r="I77" s="33">
        <v>0</v>
      </c>
      <c r="J77" s="33"/>
      <c r="K77" s="33">
        <v>0</v>
      </c>
      <c r="L77" s="33"/>
      <c r="M77" s="33">
        <v>0</v>
      </c>
      <c r="N77" s="33"/>
      <c r="O77" s="33">
        <v>0</v>
      </c>
      <c r="P77" s="34"/>
      <c r="Q77" s="33">
        <v>0</v>
      </c>
      <c r="R77" s="33"/>
      <c r="S77" s="33">
        <v>0</v>
      </c>
      <c r="T77" s="35"/>
      <c r="U77" s="33">
        <v>0</v>
      </c>
      <c r="V77" s="33"/>
      <c r="W77" s="33">
        <v>0</v>
      </c>
    </row>
    <row r="78" spans="1:23">
      <c r="A78" s="36">
        <v>450608001</v>
      </c>
      <c r="C78" s="36">
        <v>20</v>
      </c>
      <c r="D78" s="36" t="s">
        <v>206</v>
      </c>
      <c r="G78" s="33">
        <v>22000000</v>
      </c>
      <c r="H78" s="33"/>
      <c r="I78" s="33">
        <v>139908</v>
      </c>
      <c r="J78" s="33"/>
      <c r="K78" s="33">
        <v>21860092</v>
      </c>
      <c r="L78" s="33"/>
      <c r="M78" s="33">
        <v>10002852</v>
      </c>
      <c r="N78" s="33"/>
      <c r="O78" s="33">
        <v>11857240</v>
      </c>
      <c r="P78" s="34"/>
      <c r="Q78" s="33">
        <v>1603388</v>
      </c>
      <c r="R78" s="33"/>
      <c r="S78" s="33">
        <v>10253852</v>
      </c>
      <c r="T78" s="35"/>
      <c r="U78" s="33">
        <v>0</v>
      </c>
      <c r="V78" s="33"/>
      <c r="W78" s="33">
        <v>10253852</v>
      </c>
    </row>
    <row r="79" spans="1:23">
      <c r="A79" s="36">
        <v>450608001000</v>
      </c>
      <c r="D79" s="36" t="s">
        <v>103</v>
      </c>
      <c r="G79" s="33">
        <v>70000000</v>
      </c>
      <c r="H79" s="33"/>
      <c r="I79" s="33">
        <v>4085392</v>
      </c>
      <c r="J79" s="33"/>
      <c r="K79" s="33">
        <v>65914608</v>
      </c>
      <c r="L79" s="33"/>
      <c r="M79" s="33">
        <v>0</v>
      </c>
      <c r="N79" s="33"/>
      <c r="O79" s="33">
        <v>65914608</v>
      </c>
      <c r="P79" s="34"/>
      <c r="Q79" s="33">
        <v>26758608</v>
      </c>
      <c r="R79" s="33"/>
      <c r="S79" s="33">
        <v>39156000</v>
      </c>
      <c r="T79" s="35"/>
      <c r="U79" s="33">
        <v>0</v>
      </c>
      <c r="V79" s="33"/>
      <c r="W79" s="33">
        <v>39156000</v>
      </c>
    </row>
    <row r="80" spans="1:23">
      <c r="A80" s="36">
        <v>450608001000001</v>
      </c>
      <c r="B80" s="36">
        <v>300</v>
      </c>
      <c r="D80" s="36" t="s">
        <v>33</v>
      </c>
      <c r="G80" s="33">
        <v>70000000</v>
      </c>
      <c r="H80" s="33"/>
      <c r="I80" s="33">
        <v>4085392</v>
      </c>
      <c r="J80" s="33"/>
      <c r="K80" s="33">
        <v>65914608</v>
      </c>
      <c r="L80" s="33"/>
      <c r="M80" s="33">
        <v>0</v>
      </c>
      <c r="N80" s="33"/>
      <c r="O80" s="33">
        <v>65914608</v>
      </c>
      <c r="P80" s="34"/>
      <c r="Q80" s="33">
        <v>26758608</v>
      </c>
      <c r="R80" s="33"/>
      <c r="S80" s="33">
        <v>39156000</v>
      </c>
      <c r="T80" s="35"/>
      <c r="U80" s="33">
        <v>0</v>
      </c>
      <c r="V80" s="33"/>
      <c r="W80" s="33">
        <v>39156000</v>
      </c>
    </row>
    <row r="81" spans="1:23">
      <c r="A81" s="36">
        <v>450608001000002</v>
      </c>
      <c r="B81" s="36">
        <v>300</v>
      </c>
      <c r="D81" s="36" t="s">
        <v>33</v>
      </c>
      <c r="G81" s="33">
        <v>34000000</v>
      </c>
      <c r="H81" s="33"/>
      <c r="I81" s="33">
        <v>4907292</v>
      </c>
      <c r="J81" s="33"/>
      <c r="K81" s="33">
        <v>29092708</v>
      </c>
      <c r="L81" s="33"/>
      <c r="M81" s="33">
        <v>1</v>
      </c>
      <c r="N81" s="33"/>
      <c r="O81" s="33">
        <v>29092707</v>
      </c>
      <c r="P81" s="34"/>
      <c r="Q81" s="33">
        <v>11151429</v>
      </c>
      <c r="R81" s="33"/>
      <c r="S81" s="33">
        <v>17941278</v>
      </c>
      <c r="T81" s="35"/>
      <c r="U81" s="33">
        <v>0</v>
      </c>
      <c r="V81" s="33"/>
      <c r="W81" s="33">
        <v>17941278</v>
      </c>
    </row>
    <row r="82" spans="1:23">
      <c r="A82" s="36">
        <v>450608001000003</v>
      </c>
      <c r="B82" s="36">
        <v>300</v>
      </c>
      <c r="D82" s="36" t="s">
        <v>33</v>
      </c>
      <c r="G82" s="33">
        <v>15000000</v>
      </c>
      <c r="H82" s="33"/>
      <c r="I82" s="33">
        <v>1</v>
      </c>
      <c r="J82" s="33"/>
      <c r="K82" s="33">
        <v>14999999</v>
      </c>
      <c r="L82" s="33"/>
      <c r="M82" s="33">
        <v>0</v>
      </c>
      <c r="N82" s="33"/>
      <c r="O82" s="33">
        <v>14999999</v>
      </c>
      <c r="P82" s="34"/>
      <c r="Q82" s="33">
        <v>10000001</v>
      </c>
      <c r="R82" s="33"/>
      <c r="S82" s="33">
        <v>4999998</v>
      </c>
      <c r="T82" s="35"/>
      <c r="U82" s="33">
        <v>0</v>
      </c>
      <c r="V82" s="33"/>
      <c r="W82" s="33">
        <v>4999998</v>
      </c>
    </row>
    <row r="83" spans="1:23">
      <c r="A83" s="36">
        <v>450608001000004</v>
      </c>
      <c r="D83" s="36" t="s">
        <v>203</v>
      </c>
      <c r="G83" s="33">
        <v>59000000</v>
      </c>
      <c r="H83" s="33"/>
      <c r="I83" s="33">
        <v>2447731</v>
      </c>
      <c r="J83" s="33"/>
      <c r="K83" s="33">
        <v>56552269</v>
      </c>
      <c r="L83" s="33"/>
      <c r="M83" s="33">
        <v>646578</v>
      </c>
      <c r="N83" s="33"/>
      <c r="O83" s="33">
        <v>55905691</v>
      </c>
      <c r="P83" s="34"/>
      <c r="Q83" s="33">
        <v>43934919</v>
      </c>
      <c r="R83" s="33"/>
      <c r="S83" s="33">
        <v>11970772</v>
      </c>
      <c r="T83" s="35"/>
      <c r="U83" s="33">
        <v>0</v>
      </c>
      <c r="V83" s="33"/>
      <c r="W83" s="33">
        <v>11970772</v>
      </c>
    </row>
    <row r="84" spans="1:23">
      <c r="A84" s="36">
        <v>510608002</v>
      </c>
      <c r="C84" s="36">
        <v>20</v>
      </c>
      <c r="D84" s="36" t="s">
        <v>206</v>
      </c>
      <c r="G84" s="33">
        <v>10000000</v>
      </c>
      <c r="H84" s="33"/>
      <c r="I84" s="33">
        <v>1153394</v>
      </c>
      <c r="J84" s="33"/>
      <c r="K84" s="33">
        <v>8846606</v>
      </c>
      <c r="L84" s="33"/>
      <c r="M84" s="33">
        <v>1</v>
      </c>
      <c r="N84" s="33"/>
      <c r="O84" s="33">
        <v>8846605</v>
      </c>
      <c r="P84" s="34"/>
      <c r="Q84" s="33">
        <v>8846605</v>
      </c>
      <c r="R84" s="33"/>
      <c r="S84" s="33">
        <v>0</v>
      </c>
      <c r="T84" s="35"/>
      <c r="U84" s="33">
        <v>0</v>
      </c>
      <c r="V84" s="33"/>
      <c r="W84" s="33">
        <v>0</v>
      </c>
    </row>
    <row r="85" spans="1:23">
      <c r="A85" s="36">
        <v>510608002000</v>
      </c>
      <c r="D85" s="36" t="s">
        <v>215</v>
      </c>
      <c r="G85" s="33">
        <v>40000000</v>
      </c>
      <c r="H85" s="33"/>
      <c r="I85" s="33">
        <v>97425</v>
      </c>
      <c r="J85" s="33"/>
      <c r="K85" s="33">
        <v>39902575</v>
      </c>
      <c r="L85" s="33"/>
      <c r="M85" s="33">
        <v>1</v>
      </c>
      <c r="N85" s="33"/>
      <c r="O85" s="33">
        <v>39902574</v>
      </c>
      <c r="P85" s="34"/>
      <c r="Q85" s="33">
        <v>27931802</v>
      </c>
      <c r="R85" s="33"/>
      <c r="S85" s="33">
        <v>11970772</v>
      </c>
      <c r="T85" s="35"/>
      <c r="U85" s="33">
        <v>0</v>
      </c>
      <c r="V85" s="33"/>
      <c r="W85" s="33">
        <v>11970772</v>
      </c>
    </row>
    <row r="86" spans="1:23">
      <c r="A86" s="36">
        <v>510608002000027</v>
      </c>
      <c r="B86" s="36">
        <v>300</v>
      </c>
      <c r="D86" s="36" t="s">
        <v>33</v>
      </c>
      <c r="G86" s="33">
        <v>40000000</v>
      </c>
      <c r="H86" s="33"/>
      <c r="I86" s="33">
        <v>97425</v>
      </c>
      <c r="J86" s="33"/>
      <c r="K86" s="33">
        <v>39902575</v>
      </c>
      <c r="L86" s="33"/>
      <c r="M86" s="33">
        <v>1</v>
      </c>
      <c r="N86" s="33"/>
      <c r="O86" s="33">
        <v>39902574</v>
      </c>
      <c r="P86" s="34"/>
      <c r="Q86" s="33">
        <v>27931802</v>
      </c>
      <c r="R86" s="33"/>
      <c r="S86" s="33">
        <v>11970772</v>
      </c>
      <c r="T86" s="35"/>
      <c r="U86" s="33">
        <v>0</v>
      </c>
      <c r="V86" s="33"/>
      <c r="W86" s="33">
        <v>11970772</v>
      </c>
    </row>
    <row r="87" spans="1:23">
      <c r="A87" s="36">
        <v>510608017</v>
      </c>
      <c r="C87" s="36">
        <v>20</v>
      </c>
      <c r="D87" s="36" t="s">
        <v>206</v>
      </c>
      <c r="G87" s="33">
        <v>8000000</v>
      </c>
      <c r="H87" s="33"/>
      <c r="I87" s="33">
        <v>196912</v>
      </c>
      <c r="J87" s="33"/>
      <c r="K87" s="33">
        <v>7803088</v>
      </c>
      <c r="L87" s="33"/>
      <c r="M87" s="33">
        <v>646576</v>
      </c>
      <c r="N87" s="33"/>
      <c r="O87" s="33">
        <v>7156512</v>
      </c>
      <c r="P87" s="34"/>
      <c r="Q87" s="33">
        <v>7156512</v>
      </c>
      <c r="R87" s="33"/>
      <c r="S87" s="33">
        <v>0</v>
      </c>
      <c r="T87" s="35"/>
      <c r="U87" s="33">
        <v>0</v>
      </c>
      <c r="V87" s="33"/>
      <c r="W87" s="33">
        <v>0</v>
      </c>
    </row>
    <row r="88" spans="1:23">
      <c r="A88" s="36">
        <v>510608017000</v>
      </c>
      <c r="D88" s="36" t="s">
        <v>87</v>
      </c>
      <c r="G88" s="33">
        <v>1000000</v>
      </c>
      <c r="H88" s="33"/>
      <c r="I88" s="33">
        <v>1000000</v>
      </c>
      <c r="J88" s="33"/>
      <c r="K88" s="33">
        <v>0</v>
      </c>
      <c r="L88" s="33"/>
      <c r="M88" s="33">
        <v>0</v>
      </c>
      <c r="N88" s="33"/>
      <c r="O88" s="33">
        <v>0</v>
      </c>
      <c r="P88" s="34"/>
      <c r="Q88" s="33">
        <v>0</v>
      </c>
      <c r="R88" s="33"/>
      <c r="S88" s="33">
        <v>0</v>
      </c>
      <c r="T88" s="35"/>
      <c r="U88" s="33">
        <v>0</v>
      </c>
      <c r="V88" s="33"/>
      <c r="W88" s="33">
        <v>0</v>
      </c>
    </row>
    <row r="89" spans="1:23">
      <c r="A89" s="36">
        <v>510608017000003</v>
      </c>
      <c r="B89" s="36">
        <v>300</v>
      </c>
      <c r="D89" s="36" t="s">
        <v>33</v>
      </c>
      <c r="G89" s="33">
        <v>1000000</v>
      </c>
      <c r="H89" s="33"/>
      <c r="I89" s="33">
        <v>1000000</v>
      </c>
      <c r="J89" s="33"/>
      <c r="K89" s="33">
        <v>0</v>
      </c>
      <c r="L89" s="33"/>
      <c r="M89" s="33">
        <v>0</v>
      </c>
      <c r="N89" s="33"/>
      <c r="O89" s="33">
        <v>0</v>
      </c>
      <c r="P89" s="34"/>
      <c r="Q89" s="33">
        <v>0</v>
      </c>
      <c r="R89" s="33"/>
      <c r="S89" s="33">
        <v>0</v>
      </c>
      <c r="T89" s="35"/>
      <c r="U89" s="33">
        <v>0</v>
      </c>
      <c r="V89" s="33"/>
      <c r="W89" s="33">
        <v>0</v>
      </c>
    </row>
    <row r="90" spans="1:23">
      <c r="A90" s="36">
        <v>510608017000004</v>
      </c>
      <c r="D90" s="36" t="s">
        <v>203</v>
      </c>
      <c r="G90" s="33">
        <v>99000000</v>
      </c>
      <c r="H90" s="33"/>
      <c r="I90" s="33">
        <v>2691245</v>
      </c>
      <c r="J90" s="33"/>
      <c r="K90" s="33">
        <v>96308755</v>
      </c>
      <c r="L90" s="33"/>
      <c r="M90" s="33">
        <v>6864</v>
      </c>
      <c r="N90" s="33"/>
      <c r="O90" s="33">
        <v>96301891</v>
      </c>
      <c r="P90" s="34"/>
      <c r="Q90" s="33">
        <v>94808140</v>
      </c>
      <c r="R90" s="33"/>
      <c r="S90" s="33">
        <v>1493751</v>
      </c>
      <c r="T90" s="35"/>
      <c r="U90" s="33">
        <v>0</v>
      </c>
      <c r="V90" s="33"/>
      <c r="W90" s="33">
        <v>1493751</v>
      </c>
    </row>
    <row r="91" spans="1:23">
      <c r="A91" s="36">
        <v>5.10608017000004E+16</v>
      </c>
      <c r="D91" s="36" t="s">
        <v>115</v>
      </c>
      <c r="G91" s="33">
        <v>40500000</v>
      </c>
      <c r="H91" s="33"/>
      <c r="I91" s="33">
        <v>648</v>
      </c>
      <c r="J91" s="33"/>
      <c r="K91" s="33">
        <v>40499352</v>
      </c>
      <c r="L91" s="33"/>
      <c r="M91" s="33">
        <v>615</v>
      </c>
      <c r="N91" s="33"/>
      <c r="O91" s="33">
        <v>40498737</v>
      </c>
      <c r="P91" s="34"/>
      <c r="Q91" s="33">
        <v>40498737</v>
      </c>
      <c r="R91" s="33"/>
      <c r="S91" s="33">
        <v>0</v>
      </c>
      <c r="T91" s="35"/>
      <c r="U91" s="33">
        <v>0</v>
      </c>
      <c r="V91" s="33"/>
      <c r="W91" s="33">
        <v>0</v>
      </c>
    </row>
    <row r="92" spans="1:23">
      <c r="D92" s="36" t="s">
        <v>204</v>
      </c>
      <c r="G92" s="33">
        <v>40500000</v>
      </c>
      <c r="H92" s="33"/>
      <c r="I92" s="33">
        <v>648</v>
      </c>
      <c r="J92" s="33"/>
      <c r="K92" s="33">
        <v>40499352</v>
      </c>
      <c r="L92" s="33"/>
      <c r="M92" s="33">
        <v>615</v>
      </c>
      <c r="N92" s="33"/>
      <c r="O92" s="33">
        <v>40498737</v>
      </c>
      <c r="P92" s="34"/>
      <c r="Q92" s="33">
        <v>40498737</v>
      </c>
      <c r="R92" s="33"/>
      <c r="S92" s="33">
        <v>0</v>
      </c>
      <c r="T92" s="35"/>
      <c r="U92" s="33">
        <v>0</v>
      </c>
      <c r="V92" s="33"/>
      <c r="W92" s="33">
        <v>0</v>
      </c>
    </row>
    <row r="93" spans="1:23">
      <c r="D93" s="36" t="s">
        <v>216</v>
      </c>
      <c r="G93" s="33">
        <v>40500000</v>
      </c>
      <c r="H93" s="33"/>
      <c r="I93" s="33">
        <v>648</v>
      </c>
      <c r="J93" s="33"/>
      <c r="K93" s="33">
        <v>40499352</v>
      </c>
      <c r="L93" s="33"/>
      <c r="M93" s="33">
        <v>615</v>
      </c>
      <c r="N93" s="33"/>
      <c r="O93" s="33">
        <v>40498737</v>
      </c>
      <c r="P93" s="34"/>
      <c r="Q93" s="33">
        <v>40498737</v>
      </c>
      <c r="R93" s="33"/>
      <c r="S93" s="33">
        <v>0</v>
      </c>
      <c r="T93" s="35"/>
      <c r="U93" s="33">
        <v>0</v>
      </c>
      <c r="V93" s="33"/>
      <c r="W93" s="33">
        <v>0</v>
      </c>
    </row>
    <row r="94" spans="1:23">
      <c r="A94" s="36">
        <v>5.10608017000004E+16</v>
      </c>
      <c r="D94" s="36" t="s">
        <v>183</v>
      </c>
      <c r="G94" s="33">
        <v>40500000</v>
      </c>
      <c r="H94" s="33"/>
      <c r="I94" s="33">
        <v>648</v>
      </c>
      <c r="J94" s="33"/>
      <c r="K94" s="33">
        <v>40499352</v>
      </c>
      <c r="L94" s="33"/>
      <c r="M94" s="33">
        <v>615</v>
      </c>
      <c r="N94" s="33"/>
      <c r="O94" s="33">
        <v>40498737</v>
      </c>
      <c r="P94" s="34"/>
      <c r="Q94" s="33">
        <v>40498737</v>
      </c>
      <c r="R94" s="33"/>
      <c r="S94" s="33">
        <v>0</v>
      </c>
      <c r="T94" s="35"/>
      <c r="U94" s="33">
        <v>0</v>
      </c>
      <c r="V94" s="33"/>
      <c r="W94" s="33">
        <v>0</v>
      </c>
    </row>
    <row r="95" spans="1:23">
      <c r="D95" s="36" t="s">
        <v>39</v>
      </c>
      <c r="G95" s="33">
        <v>58500000</v>
      </c>
      <c r="H95" s="33"/>
      <c r="I95" s="33">
        <v>2690597</v>
      </c>
      <c r="J95" s="33"/>
      <c r="K95" s="33">
        <v>55809403</v>
      </c>
      <c r="L95" s="33"/>
      <c r="M95" s="33">
        <v>6249</v>
      </c>
      <c r="N95" s="33"/>
      <c r="O95" s="33">
        <v>55803154</v>
      </c>
      <c r="P95" s="34"/>
      <c r="Q95" s="33">
        <v>54309403</v>
      </c>
      <c r="R95" s="33"/>
      <c r="S95" s="33">
        <v>1493751</v>
      </c>
      <c r="T95" s="35"/>
      <c r="U95" s="33">
        <v>0</v>
      </c>
      <c r="V95" s="33"/>
      <c r="W95" s="33">
        <v>1493751</v>
      </c>
    </row>
    <row r="96" spans="1:23">
      <c r="D96" s="36" t="s">
        <v>40</v>
      </c>
      <c r="G96" s="33">
        <v>55000000</v>
      </c>
      <c r="H96" s="33"/>
      <c r="I96" s="33">
        <v>2690596</v>
      </c>
      <c r="J96" s="33"/>
      <c r="K96" s="33">
        <v>52309404</v>
      </c>
      <c r="L96" s="33"/>
      <c r="M96" s="33">
        <v>0</v>
      </c>
      <c r="N96" s="33"/>
      <c r="O96" s="33">
        <v>52309404</v>
      </c>
      <c r="P96" s="34"/>
      <c r="Q96" s="33">
        <v>52309404</v>
      </c>
      <c r="R96" s="33"/>
      <c r="S96" s="33">
        <v>0</v>
      </c>
      <c r="T96" s="35"/>
      <c r="U96" s="33">
        <v>0</v>
      </c>
      <c r="V96" s="33"/>
      <c r="W96" s="33">
        <v>0</v>
      </c>
    </row>
    <row r="97" spans="4:23">
      <c r="D97" s="36" t="s">
        <v>41</v>
      </c>
      <c r="G97" s="33">
        <v>1500000</v>
      </c>
      <c r="H97" s="33"/>
      <c r="I97" s="33">
        <v>0</v>
      </c>
      <c r="J97" s="33"/>
      <c r="K97" s="33">
        <v>1500000</v>
      </c>
      <c r="L97" s="33"/>
      <c r="M97" s="33">
        <v>6249</v>
      </c>
      <c r="N97" s="33"/>
      <c r="O97" s="33">
        <v>1493751</v>
      </c>
      <c r="P97" s="34"/>
      <c r="Q97" s="33">
        <v>0</v>
      </c>
      <c r="R97" s="33"/>
      <c r="S97" s="33">
        <v>1493751</v>
      </c>
      <c r="T97" s="35"/>
      <c r="U97" s="33">
        <v>0</v>
      </c>
      <c r="V97" s="33"/>
      <c r="W97" s="33">
        <v>1493751</v>
      </c>
    </row>
    <row r="98" spans="4:23">
      <c r="D98" s="36" t="s">
        <v>42</v>
      </c>
      <c r="G98" s="33">
        <v>2000000</v>
      </c>
      <c r="H98" s="33"/>
      <c r="I98" s="33">
        <v>1</v>
      </c>
      <c r="J98" s="33"/>
      <c r="K98" s="33">
        <v>1999999</v>
      </c>
      <c r="L98" s="33"/>
      <c r="M98" s="33">
        <v>0</v>
      </c>
      <c r="N98" s="33"/>
      <c r="O98" s="33">
        <v>1999999</v>
      </c>
      <c r="P98" s="34"/>
      <c r="Q98" s="33">
        <v>1999999</v>
      </c>
      <c r="R98" s="33"/>
      <c r="S98" s="33">
        <v>0</v>
      </c>
      <c r="T98" s="35"/>
      <c r="U98" s="33">
        <v>0</v>
      </c>
      <c r="V98" s="33"/>
      <c r="W98" s="33">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zoomScale="90" zoomScaleNormal="90" workbookViewId="0">
      <pane xSplit="3" ySplit="1" topLeftCell="D3" activePane="bottomRight" state="frozen"/>
      <selection pane="topRight" activeCell="D1" sqref="D1"/>
      <selection pane="bottomLeft" activeCell="A6" sqref="A6"/>
      <selection pane="bottomRight" activeCell="G26" sqref="G26"/>
    </sheetView>
  </sheetViews>
  <sheetFormatPr baseColWidth="10" defaultRowHeight="15"/>
  <cols>
    <col min="1" max="1" width="37.140625" style="37" customWidth="1"/>
    <col min="2" max="2" width="24.5703125" style="38" customWidth="1"/>
    <col min="3" max="3" width="39.42578125" style="38" customWidth="1"/>
    <col min="4" max="4" width="47.7109375" style="38" customWidth="1"/>
    <col min="5" max="5" width="22" style="38" customWidth="1"/>
    <col min="6" max="6" width="30.7109375" style="27" customWidth="1"/>
    <col min="7" max="7" width="27.28515625" style="39" customWidth="1"/>
    <col min="8" max="8" width="26.7109375" style="18" customWidth="1"/>
    <col min="9" max="9" width="19.5703125" style="18" customWidth="1"/>
    <col min="10" max="10" width="16.85546875" style="18" customWidth="1"/>
    <col min="11" max="11" width="16.7109375" style="37" customWidth="1"/>
    <col min="12" max="12" width="17.85546875" style="37" customWidth="1"/>
    <col min="13" max="13" width="24.85546875" style="37" customWidth="1"/>
    <col min="14" max="14" width="25.28515625" style="37" customWidth="1"/>
    <col min="15" max="16384" width="11.42578125" style="37"/>
  </cols>
  <sheetData>
    <row r="1" spans="1:14" ht="88.5" customHeight="1" thickBot="1">
      <c r="A1" s="1528"/>
      <c r="B1" s="1529"/>
      <c r="C1" s="1545" t="s">
        <v>383</v>
      </c>
      <c r="D1" s="1546"/>
      <c r="E1" s="1546"/>
      <c r="F1" s="1546"/>
      <c r="G1" s="1546"/>
      <c r="H1" s="1546"/>
      <c r="I1" s="1546"/>
      <c r="J1" s="1546"/>
      <c r="K1" s="1546"/>
      <c r="L1" s="1546"/>
      <c r="M1" s="1546"/>
      <c r="N1" s="1546"/>
    </row>
    <row r="2" spans="1:14" ht="18.75" thickBot="1">
      <c r="A2" s="48"/>
      <c r="B2" s="48"/>
      <c r="C2" s="48"/>
      <c r="D2" s="48"/>
      <c r="E2" s="48"/>
      <c r="F2" s="48"/>
      <c r="G2" s="48"/>
      <c r="H2" s="48"/>
      <c r="I2" s="1645" t="s">
        <v>228</v>
      </c>
      <c r="J2" s="1645"/>
      <c r="K2" s="1645"/>
      <c r="L2" s="1645"/>
      <c r="M2" s="1645"/>
      <c r="N2" s="1645"/>
    </row>
    <row r="3" spans="1:14" ht="15.75" customHeight="1" thickBot="1">
      <c r="A3" s="1548" t="s">
        <v>48</v>
      </c>
      <c r="B3" s="1548" t="s">
        <v>49</v>
      </c>
      <c r="C3" s="1548" t="s">
        <v>229</v>
      </c>
      <c r="D3" s="1548" t="s">
        <v>230</v>
      </c>
      <c r="E3" s="1548" t="s">
        <v>131</v>
      </c>
      <c r="F3" s="1548" t="s">
        <v>231</v>
      </c>
      <c r="G3" s="1548" t="s">
        <v>232</v>
      </c>
      <c r="H3" s="1548" t="s">
        <v>233</v>
      </c>
      <c r="I3" s="1549" t="s">
        <v>234</v>
      </c>
      <c r="J3" s="1817"/>
      <c r="K3" s="1817"/>
      <c r="L3" s="1818"/>
      <c r="M3" s="1549" t="s">
        <v>1311</v>
      </c>
      <c r="N3" s="1818"/>
    </row>
    <row r="4" spans="1:14" ht="15.75" thickBot="1">
      <c r="A4" s="1815"/>
      <c r="B4" s="1815"/>
      <c r="C4" s="1815"/>
      <c r="D4" s="1816"/>
      <c r="E4" s="1815"/>
      <c r="F4" s="1815"/>
      <c r="G4" s="1815"/>
      <c r="H4" s="1815"/>
      <c r="I4" s="1819" t="s">
        <v>236</v>
      </c>
      <c r="J4" s="1820"/>
      <c r="K4" s="1550" t="s">
        <v>237</v>
      </c>
      <c r="L4" s="1821"/>
      <c r="M4" s="641" t="s">
        <v>18</v>
      </c>
      <c r="N4" s="650" t="s">
        <v>71</v>
      </c>
    </row>
    <row r="5" spans="1:14" ht="15.75" thickBot="1">
      <c r="A5" s="1816"/>
      <c r="B5" s="1816"/>
      <c r="C5" s="1816"/>
      <c r="D5" s="641" t="s">
        <v>238</v>
      </c>
      <c r="E5" s="1816"/>
      <c r="F5" s="1816"/>
      <c r="G5" s="1816"/>
      <c r="H5" s="1816"/>
      <c r="I5" s="62" t="s">
        <v>239</v>
      </c>
      <c r="J5" s="62" t="s">
        <v>240</v>
      </c>
      <c r="K5" s="62" t="s">
        <v>239</v>
      </c>
      <c r="L5" s="62" t="s">
        <v>240</v>
      </c>
      <c r="M5" s="658"/>
      <c r="N5" s="659"/>
    </row>
  </sheetData>
  <mergeCells count="15">
    <mergeCell ref="A1:B1"/>
    <mergeCell ref="C1:N1"/>
    <mergeCell ref="I2:N2"/>
    <mergeCell ref="A3:A5"/>
    <mergeCell ref="B3:B5"/>
    <mergeCell ref="H3:H5"/>
    <mergeCell ref="I3:L3"/>
    <mergeCell ref="M3:N3"/>
    <mergeCell ref="I4:J4"/>
    <mergeCell ref="K4:L4"/>
    <mergeCell ref="C3:C5"/>
    <mergeCell ref="D3:D4"/>
    <mergeCell ref="E3:E5"/>
    <mergeCell ref="F3:F5"/>
    <mergeCell ref="G3:G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42"/>
  <sheetViews>
    <sheetView workbookViewId="0">
      <pane xSplit="2" ySplit="1" topLeftCell="D2" activePane="bottomRight" state="frozen"/>
      <selection pane="topRight" activeCell="C1" sqref="C1"/>
      <selection pane="bottomLeft" activeCell="A8" sqref="A8"/>
      <selection pane="bottomRight" activeCell="J9" sqref="J9"/>
    </sheetView>
  </sheetViews>
  <sheetFormatPr baseColWidth="10" defaultRowHeight="15"/>
  <cols>
    <col min="1" max="1" width="21" style="44" customWidth="1"/>
    <col min="2" max="2" width="26.42578125" style="44" customWidth="1"/>
    <col min="3" max="3" width="29.42578125" style="44" customWidth="1"/>
    <col min="4" max="4" width="22.7109375" style="44" customWidth="1"/>
    <col min="5" max="5" width="16.5703125" style="44" customWidth="1"/>
    <col min="6" max="6" width="12.85546875" style="44" customWidth="1"/>
    <col min="7" max="7" width="19.5703125" style="44" customWidth="1"/>
    <col min="8" max="8" width="16" style="44" customWidth="1"/>
    <col min="9" max="12" width="11.42578125" style="44"/>
    <col min="13" max="13" width="15.140625" style="44" customWidth="1"/>
    <col min="14" max="14" width="11.42578125" style="44"/>
    <col min="15" max="15" width="15.5703125" style="44" customWidth="1"/>
    <col min="16" max="16384" width="11.42578125" style="44"/>
  </cols>
  <sheetData>
    <row r="1" spans="1:15" ht="99.75" customHeight="1">
      <c r="A1" s="1836" t="s">
        <v>307</v>
      </c>
      <c r="B1" s="1837"/>
      <c r="C1" s="1837"/>
      <c r="D1" s="1837"/>
      <c r="E1" s="1837"/>
      <c r="F1" s="1837"/>
      <c r="G1" s="1837"/>
      <c r="H1" s="1837"/>
      <c r="I1" s="1837"/>
      <c r="J1" s="1837"/>
      <c r="K1" s="1837"/>
      <c r="L1" s="1837"/>
      <c r="M1" s="1837"/>
      <c r="N1" s="1837"/>
      <c r="O1" s="1838"/>
    </row>
    <row r="2" spans="1:15">
      <c r="A2" s="1839" t="s">
        <v>308</v>
      </c>
      <c r="B2" s="1840"/>
      <c r="C2" s="1840"/>
      <c r="D2" s="1840"/>
      <c r="E2" s="1840"/>
      <c r="F2" s="1840"/>
      <c r="G2" s="1840"/>
      <c r="H2" s="1840"/>
      <c r="I2" s="1840"/>
      <c r="J2" s="1840"/>
      <c r="K2" s="1840"/>
      <c r="L2" s="1840"/>
      <c r="M2" s="1840"/>
      <c r="N2" s="1840"/>
      <c r="O2" s="1841"/>
    </row>
    <row r="3" spans="1:15" ht="40.5" customHeight="1">
      <c r="A3" s="1839" t="s">
        <v>2327</v>
      </c>
      <c r="B3" s="1840"/>
      <c r="C3" s="1840"/>
      <c r="D3" s="1840"/>
      <c r="E3" s="1840"/>
      <c r="F3" s="1840"/>
      <c r="G3" s="1840"/>
      <c r="H3" s="1840"/>
      <c r="I3" s="1840"/>
      <c r="J3" s="1840"/>
      <c r="K3" s="1840"/>
      <c r="L3" s="1840"/>
      <c r="M3" s="1840"/>
      <c r="N3" s="1840"/>
      <c r="O3" s="1841"/>
    </row>
    <row r="4" spans="1:15" ht="57" customHeight="1">
      <c r="A4" s="1842" t="s">
        <v>48</v>
      </c>
      <c r="B4" s="1536" t="s">
        <v>49</v>
      </c>
      <c r="C4" s="1537"/>
      <c r="D4" s="1531" t="s">
        <v>229</v>
      </c>
      <c r="E4" s="1531" t="s">
        <v>230</v>
      </c>
      <c r="F4" s="1531" t="s">
        <v>131</v>
      </c>
      <c r="G4" s="1845" t="s">
        <v>231</v>
      </c>
      <c r="H4" s="1553" t="s">
        <v>232</v>
      </c>
      <c r="I4" s="1553" t="s">
        <v>233</v>
      </c>
      <c r="J4" s="1553" t="s">
        <v>234</v>
      </c>
      <c r="K4" s="1553"/>
      <c r="L4" s="1553"/>
      <c r="M4" s="1553"/>
      <c r="N4" s="1847" t="s">
        <v>1324</v>
      </c>
      <c r="O4" s="1848"/>
    </row>
    <row r="5" spans="1:15">
      <c r="A5" s="1843"/>
      <c r="B5" s="1604"/>
      <c r="C5" s="1606"/>
      <c r="D5" s="1844"/>
      <c r="E5" s="1844"/>
      <c r="F5" s="1844"/>
      <c r="G5" s="1846"/>
      <c r="H5" s="1553"/>
      <c r="I5" s="1553"/>
      <c r="J5" s="1553"/>
      <c r="K5" s="1553"/>
      <c r="L5" s="1553"/>
      <c r="M5" s="1553"/>
      <c r="N5" s="1849"/>
      <c r="O5" s="1850"/>
    </row>
    <row r="6" spans="1:15">
      <c r="A6" s="1843"/>
      <c r="B6" s="1604"/>
      <c r="C6" s="1606"/>
      <c r="D6" s="1844"/>
      <c r="E6" s="1532"/>
      <c r="F6" s="1844"/>
      <c r="G6" s="1846"/>
      <c r="H6" s="1553"/>
      <c r="I6" s="1553"/>
      <c r="J6" s="1825" t="s">
        <v>236</v>
      </c>
      <c r="K6" s="1825"/>
      <c r="L6" s="1726" t="s">
        <v>237</v>
      </c>
      <c r="M6" s="1726"/>
      <c r="N6" s="1851"/>
      <c r="O6" s="1852"/>
    </row>
    <row r="7" spans="1:15">
      <c r="A7" s="1843"/>
      <c r="B7" s="1604"/>
      <c r="C7" s="1606"/>
      <c r="D7" s="1844"/>
      <c r="E7" s="1188" t="s">
        <v>238</v>
      </c>
      <c r="F7" s="1844"/>
      <c r="G7" s="1846"/>
      <c r="H7" s="1531"/>
      <c r="I7" s="1531"/>
      <c r="J7" s="1225" t="s">
        <v>239</v>
      </c>
      <c r="K7" s="1225" t="s">
        <v>240</v>
      </c>
      <c r="L7" s="1225" t="s">
        <v>239</v>
      </c>
      <c r="M7" s="1225" t="s">
        <v>240</v>
      </c>
      <c r="N7" s="1226" t="s">
        <v>18</v>
      </c>
      <c r="O7" s="1227" t="s">
        <v>71</v>
      </c>
    </row>
    <row r="8" spans="1:15" ht="15.75">
      <c r="A8" s="1228"/>
      <c r="B8" s="1830" t="s">
        <v>146</v>
      </c>
      <c r="C8" s="1830"/>
      <c r="D8" s="1229"/>
      <c r="E8" s="1230"/>
      <c r="F8" s="1229"/>
      <c r="G8" s="1231">
        <v>59737886</v>
      </c>
      <c r="H8" s="1232"/>
      <c r="I8" s="1233"/>
      <c r="J8" s="49" t="s">
        <v>677</v>
      </c>
      <c r="K8" s="49" t="s">
        <v>677</v>
      </c>
      <c r="L8" s="1233"/>
      <c r="M8" s="1231">
        <v>59737886</v>
      </c>
      <c r="N8" s="1233"/>
      <c r="O8" s="1234" t="s">
        <v>2328</v>
      </c>
    </row>
    <row r="9" spans="1:15" ht="89.25">
      <c r="A9" s="1235">
        <v>113608002000001</v>
      </c>
      <c r="B9" s="1236"/>
      <c r="C9" s="1237" t="s">
        <v>2329</v>
      </c>
      <c r="D9" s="1238" t="s">
        <v>2330</v>
      </c>
      <c r="E9" s="1233"/>
      <c r="F9" s="1237" t="s">
        <v>2331</v>
      </c>
      <c r="G9" s="1239"/>
      <c r="H9" s="1232"/>
      <c r="I9" s="1233"/>
      <c r="J9" s="49" t="s">
        <v>677</v>
      </c>
      <c r="K9" s="49" t="s">
        <v>677</v>
      </c>
      <c r="L9" s="1233"/>
      <c r="M9" s="1239"/>
      <c r="N9" s="1233"/>
      <c r="O9" s="1234" t="s">
        <v>2328</v>
      </c>
    </row>
    <row r="10" spans="1:15" ht="63.75">
      <c r="A10" s="1235">
        <v>113608002000004</v>
      </c>
      <c r="B10" s="1830" t="s">
        <v>2332</v>
      </c>
      <c r="C10" s="1830"/>
      <c r="D10" s="1240"/>
      <c r="E10" s="1240"/>
      <c r="F10" s="1241" t="s">
        <v>2333</v>
      </c>
      <c r="G10" s="1231">
        <v>339974233</v>
      </c>
      <c r="H10" s="1232"/>
      <c r="I10" s="1233"/>
      <c r="J10" s="49" t="s">
        <v>677</v>
      </c>
      <c r="K10" s="49" t="s">
        <v>677</v>
      </c>
      <c r="L10" s="1233"/>
      <c r="M10" s="1231">
        <v>339974233</v>
      </c>
      <c r="N10" s="1233"/>
      <c r="O10" s="1233"/>
    </row>
    <row r="11" spans="1:15" ht="25.5">
      <c r="A11" s="1235"/>
      <c r="B11" s="1832"/>
      <c r="C11" s="1237" t="s">
        <v>2334</v>
      </c>
      <c r="D11" s="1238" t="s">
        <v>685</v>
      </c>
      <c r="E11" s="1233"/>
      <c r="F11" s="1826" t="s">
        <v>2335</v>
      </c>
      <c r="G11" s="1239">
        <f>8500000+40000000</f>
        <v>48500000</v>
      </c>
      <c r="H11" s="1076"/>
      <c r="I11" s="1233"/>
      <c r="J11" s="49" t="s">
        <v>677</v>
      </c>
      <c r="K11" s="49" t="s">
        <v>677</v>
      </c>
      <c r="L11" s="1233"/>
      <c r="M11" s="1239">
        <f>8500000+40000000</f>
        <v>48500000</v>
      </c>
      <c r="N11" s="1233"/>
      <c r="O11" s="1234" t="s">
        <v>2328</v>
      </c>
    </row>
    <row r="12" spans="1:15" ht="25.5">
      <c r="A12" s="1235"/>
      <c r="B12" s="1832"/>
      <c r="C12" s="1237" t="s">
        <v>2336</v>
      </c>
      <c r="D12" s="1238" t="s">
        <v>685</v>
      </c>
      <c r="E12" s="1233"/>
      <c r="F12" s="1826"/>
      <c r="G12" s="1239">
        <v>35000000</v>
      </c>
      <c r="H12" s="1076"/>
      <c r="I12" s="1233"/>
      <c r="J12" s="49" t="s">
        <v>677</v>
      </c>
      <c r="K12" s="49" t="s">
        <v>677</v>
      </c>
      <c r="L12" s="1233"/>
      <c r="M12" s="1239">
        <v>35000000</v>
      </c>
      <c r="N12" s="1233"/>
      <c r="O12" s="1234" t="s">
        <v>2328</v>
      </c>
    </row>
    <row r="13" spans="1:15" ht="15.75">
      <c r="A13" s="1235"/>
      <c r="B13" s="1832"/>
      <c r="C13" s="1237" t="s">
        <v>2337</v>
      </c>
      <c r="D13" s="1238" t="s">
        <v>685</v>
      </c>
      <c r="E13" s="1233"/>
      <c r="F13" s="1826"/>
      <c r="G13" s="1239">
        <v>15000000</v>
      </c>
      <c r="H13" s="1076"/>
      <c r="I13" s="1233"/>
      <c r="J13" s="49" t="s">
        <v>677</v>
      </c>
      <c r="K13" s="49" t="s">
        <v>677</v>
      </c>
      <c r="L13" s="1233"/>
      <c r="M13" s="1239">
        <v>15000000</v>
      </c>
      <c r="N13" s="1233"/>
      <c r="O13" s="1234" t="s">
        <v>2328</v>
      </c>
    </row>
    <row r="14" spans="1:15" ht="25.5">
      <c r="A14" s="1235"/>
      <c r="B14" s="1832"/>
      <c r="C14" s="1237" t="s">
        <v>2338</v>
      </c>
      <c r="D14" s="1238" t="s">
        <v>685</v>
      </c>
      <c r="E14" s="1233"/>
      <c r="F14" s="1826"/>
      <c r="G14" s="1239">
        <v>12000000</v>
      </c>
      <c r="H14" s="1076"/>
      <c r="I14" s="1233"/>
      <c r="J14" s="49" t="s">
        <v>677</v>
      </c>
      <c r="K14" s="49" t="s">
        <v>677</v>
      </c>
      <c r="L14" s="1233"/>
      <c r="M14" s="1239">
        <v>12000000</v>
      </c>
      <c r="N14" s="1233"/>
      <c r="O14" s="1234" t="s">
        <v>2328</v>
      </c>
    </row>
    <row r="15" spans="1:15" ht="165.75">
      <c r="A15" s="1235"/>
      <c r="B15" s="1832"/>
      <c r="C15" s="1237" t="s">
        <v>2339</v>
      </c>
      <c r="D15" s="1238" t="s">
        <v>2340</v>
      </c>
      <c r="E15" s="1233"/>
      <c r="F15" s="1237" t="s">
        <v>2341</v>
      </c>
      <c r="G15" s="1239">
        <v>60000000</v>
      </c>
      <c r="H15" s="1242" t="s">
        <v>91</v>
      </c>
      <c r="I15" s="1233"/>
      <c r="J15" s="49" t="s">
        <v>677</v>
      </c>
      <c r="K15" s="49" t="s">
        <v>677</v>
      </c>
      <c r="L15" s="1242" t="s">
        <v>70</v>
      </c>
      <c r="M15" s="1239">
        <v>27382947</v>
      </c>
      <c r="N15" s="49" t="s">
        <v>14</v>
      </c>
      <c r="O15" s="1243" t="s">
        <v>2342</v>
      </c>
    </row>
    <row r="16" spans="1:15" ht="140.25">
      <c r="A16" s="1235"/>
      <c r="B16" s="1832"/>
      <c r="C16" s="1237" t="s">
        <v>2343</v>
      </c>
      <c r="D16" s="1238" t="s">
        <v>2344</v>
      </c>
      <c r="E16" s="1233"/>
      <c r="F16" s="1237" t="s">
        <v>2345</v>
      </c>
      <c r="G16" s="1239">
        <v>35000000</v>
      </c>
      <c r="H16" s="1076"/>
      <c r="I16" s="1233"/>
      <c r="J16" s="49" t="s">
        <v>677</v>
      </c>
      <c r="K16" s="49" t="s">
        <v>677</v>
      </c>
      <c r="L16" s="1233"/>
      <c r="M16" s="1239">
        <v>35000000</v>
      </c>
      <c r="N16" s="1233"/>
      <c r="O16" s="1234" t="s">
        <v>2328</v>
      </c>
    </row>
    <row r="17" spans="1:15" ht="178.5">
      <c r="A17" s="1235"/>
      <c r="B17" s="1832"/>
      <c r="C17" s="1237" t="s">
        <v>2346</v>
      </c>
      <c r="D17" s="1238" t="s">
        <v>470</v>
      </c>
      <c r="E17" s="1233"/>
      <c r="F17" s="1237" t="s">
        <v>2347</v>
      </c>
      <c r="G17" s="1239">
        <v>65000000</v>
      </c>
      <c r="H17" s="1076"/>
      <c r="I17" s="1233"/>
      <c r="J17" s="49" t="s">
        <v>677</v>
      </c>
      <c r="K17" s="49" t="s">
        <v>677</v>
      </c>
      <c r="L17" s="1233"/>
      <c r="M17" s="1239">
        <v>65000000</v>
      </c>
      <c r="N17" s="1233"/>
      <c r="O17" s="1234" t="s">
        <v>2328</v>
      </c>
    </row>
    <row r="18" spans="1:15" ht="63.75">
      <c r="A18" s="1235"/>
      <c r="B18" s="1832"/>
      <c r="C18" s="1237" t="s">
        <v>2348</v>
      </c>
      <c r="D18" s="1238" t="s">
        <v>2330</v>
      </c>
      <c r="E18" s="1233"/>
      <c r="F18" s="1237" t="s">
        <v>2349</v>
      </c>
      <c r="G18" s="1239"/>
      <c r="H18" s="1076"/>
      <c r="I18" s="1233"/>
      <c r="J18" s="49" t="s">
        <v>677</v>
      </c>
      <c r="K18" s="49" t="s">
        <v>677</v>
      </c>
      <c r="L18" s="1233"/>
      <c r="M18" s="1239"/>
      <c r="N18" s="1233"/>
      <c r="O18" s="1234" t="s">
        <v>2328</v>
      </c>
    </row>
    <row r="19" spans="1:15" ht="63.75">
      <c r="A19" s="1235"/>
      <c r="B19" s="1832"/>
      <c r="C19" s="1237" t="s">
        <v>2350</v>
      </c>
      <c r="D19" s="1238" t="s">
        <v>2351</v>
      </c>
      <c r="E19" s="1233"/>
      <c r="F19" s="1237" t="s">
        <v>2352</v>
      </c>
      <c r="G19" s="1239"/>
      <c r="H19" s="1242" t="s">
        <v>91</v>
      </c>
      <c r="I19" s="1233"/>
      <c r="J19" s="49" t="s">
        <v>677</v>
      </c>
      <c r="K19" s="49" t="s">
        <v>677</v>
      </c>
      <c r="L19" s="1244" t="s">
        <v>70</v>
      </c>
      <c r="M19" s="1245">
        <v>19931830</v>
      </c>
      <c r="N19" s="1233" t="s">
        <v>14</v>
      </c>
      <c r="O19" s="1243" t="s">
        <v>2342</v>
      </c>
    </row>
    <row r="20" spans="1:15" ht="89.25">
      <c r="A20" s="1235"/>
      <c r="B20" s="1832"/>
      <c r="C20" s="1237" t="s">
        <v>2353</v>
      </c>
      <c r="D20" s="1238" t="s">
        <v>2354</v>
      </c>
      <c r="E20" s="1233"/>
      <c r="F20" s="1237" t="s">
        <v>2355</v>
      </c>
      <c r="G20" s="1239"/>
      <c r="H20" s="1242"/>
      <c r="I20" s="1233"/>
      <c r="J20" s="49" t="s">
        <v>677</v>
      </c>
      <c r="K20" s="49" t="s">
        <v>677</v>
      </c>
      <c r="L20" s="1242"/>
      <c r="M20" s="1239"/>
      <c r="N20" s="1233"/>
      <c r="O20" s="1234" t="s">
        <v>2328</v>
      </c>
    </row>
    <row r="21" spans="1:15" ht="76.5">
      <c r="A21" s="1235"/>
      <c r="B21" s="1832"/>
      <c r="C21" s="1237" t="s">
        <v>2356</v>
      </c>
      <c r="D21" s="1238" t="s">
        <v>2357</v>
      </c>
      <c r="E21" s="1233"/>
      <c r="F21" s="1237" t="s">
        <v>2358</v>
      </c>
      <c r="G21" s="1239"/>
      <c r="H21" s="1242" t="s">
        <v>91</v>
      </c>
      <c r="I21" s="1233"/>
      <c r="J21" s="49" t="s">
        <v>677</v>
      </c>
      <c r="K21" s="49" t="s">
        <v>677</v>
      </c>
      <c r="L21" s="1242" t="s">
        <v>70</v>
      </c>
      <c r="M21" s="1239">
        <v>17696470</v>
      </c>
      <c r="N21" s="49" t="s">
        <v>14</v>
      </c>
      <c r="O21" s="1243" t="s">
        <v>2342</v>
      </c>
    </row>
    <row r="22" spans="1:15" ht="76.5">
      <c r="A22" s="1235"/>
      <c r="B22" s="1832"/>
      <c r="C22" s="1237" t="s">
        <v>2359</v>
      </c>
      <c r="D22" s="1238" t="s">
        <v>496</v>
      </c>
      <c r="E22" s="1233"/>
      <c r="F22" s="1237" t="s">
        <v>2360</v>
      </c>
      <c r="G22" s="1239"/>
      <c r="H22" s="1076"/>
      <c r="I22" s="1233"/>
      <c r="J22" s="49" t="s">
        <v>677</v>
      </c>
      <c r="K22" s="49" t="s">
        <v>677</v>
      </c>
      <c r="L22" s="1076"/>
      <c r="M22" s="1239"/>
      <c r="N22" s="1233"/>
      <c r="O22" s="1234" t="s">
        <v>2328</v>
      </c>
    </row>
    <row r="23" spans="1:15" ht="76.5">
      <c r="A23" s="1235"/>
      <c r="B23" s="1832"/>
      <c r="C23" s="1237" t="s">
        <v>2361</v>
      </c>
      <c r="D23" s="1238" t="s">
        <v>2362</v>
      </c>
      <c r="E23" s="1233"/>
      <c r="F23" s="1237" t="s">
        <v>2363</v>
      </c>
      <c r="G23" s="1239">
        <v>25000000</v>
      </c>
      <c r="H23" s="1242" t="s">
        <v>91</v>
      </c>
      <c r="I23" s="1237"/>
      <c r="J23" s="49" t="s">
        <v>677</v>
      </c>
      <c r="K23" s="49" t="s">
        <v>677</v>
      </c>
      <c r="L23" s="1242" t="s">
        <v>90</v>
      </c>
      <c r="M23" s="1239">
        <v>34015394</v>
      </c>
      <c r="N23" s="49" t="s">
        <v>14</v>
      </c>
      <c r="O23" s="1243" t="s">
        <v>2342</v>
      </c>
    </row>
    <row r="24" spans="1:15" ht="89.25">
      <c r="A24" s="1235"/>
      <c r="B24" s="1832"/>
      <c r="C24" s="1246" t="s">
        <v>2364</v>
      </c>
      <c r="D24" s="1238" t="s">
        <v>2365</v>
      </c>
      <c r="E24" s="1233"/>
      <c r="F24" s="1237" t="s">
        <v>2366</v>
      </c>
      <c r="G24" s="1239">
        <v>30000000</v>
      </c>
      <c r="H24" s="1076"/>
      <c r="I24" s="1233"/>
      <c r="J24" s="49" t="s">
        <v>677</v>
      </c>
      <c r="K24" s="49" t="s">
        <v>677</v>
      </c>
      <c r="L24" s="49"/>
      <c r="M24" s="1239">
        <v>30000000</v>
      </c>
      <c r="N24" s="1233"/>
      <c r="O24" s="1234" t="s">
        <v>2328</v>
      </c>
    </row>
    <row r="25" spans="1:15" ht="114.75">
      <c r="A25" s="1235"/>
      <c r="B25" s="1832"/>
      <c r="C25" s="1247" t="s">
        <v>2367</v>
      </c>
      <c r="D25" s="1238" t="s">
        <v>2365</v>
      </c>
      <c r="E25" s="1233"/>
      <c r="F25" s="1237" t="s">
        <v>2368</v>
      </c>
      <c r="G25" s="1239">
        <v>15000000</v>
      </c>
      <c r="H25" s="1076"/>
      <c r="I25" s="1233"/>
      <c r="J25" s="49" t="s">
        <v>677</v>
      </c>
      <c r="K25" s="49" t="s">
        <v>677</v>
      </c>
      <c r="L25" s="49"/>
      <c r="M25" s="1239">
        <v>15000000</v>
      </c>
      <c r="N25" s="1233"/>
      <c r="O25" s="1234" t="s">
        <v>2328</v>
      </c>
    </row>
    <row r="26" spans="1:15" ht="89.25">
      <c r="A26" s="1235"/>
      <c r="B26" s="1832"/>
      <c r="C26" s="1237" t="s">
        <v>2369</v>
      </c>
      <c r="D26" s="1238" t="s">
        <v>738</v>
      </c>
      <c r="E26" s="1233"/>
      <c r="F26" s="1237" t="s">
        <v>2370</v>
      </c>
      <c r="G26" s="1239">
        <v>34500000</v>
      </c>
      <c r="H26" s="1076"/>
      <c r="I26" s="1233"/>
      <c r="J26" s="49" t="s">
        <v>677</v>
      </c>
      <c r="K26" s="49" t="s">
        <v>677</v>
      </c>
      <c r="L26" s="49"/>
      <c r="M26" s="1239">
        <v>34500000</v>
      </c>
      <c r="N26" s="1233"/>
      <c r="O26" s="1234" t="s">
        <v>2328</v>
      </c>
    </row>
    <row r="27" spans="1:15" ht="76.5">
      <c r="A27" s="1235"/>
      <c r="B27" s="1832"/>
      <c r="C27" s="1237" t="s">
        <v>2361</v>
      </c>
      <c r="D27" s="1238" t="s">
        <v>2371</v>
      </c>
      <c r="E27" s="1233"/>
      <c r="F27" s="1237" t="s">
        <v>2372</v>
      </c>
      <c r="G27" s="1239">
        <v>25000000</v>
      </c>
      <c r="H27" s="1076"/>
      <c r="I27" s="1233"/>
      <c r="J27" s="49" t="s">
        <v>677</v>
      </c>
      <c r="K27" s="49" t="s">
        <v>677</v>
      </c>
      <c r="L27" s="49"/>
      <c r="M27" s="1239">
        <v>25000000</v>
      </c>
      <c r="N27" s="1233"/>
      <c r="O27" s="1234" t="s">
        <v>2328</v>
      </c>
    </row>
    <row r="28" spans="1:15" ht="15.75">
      <c r="A28" s="1248">
        <v>113608003</v>
      </c>
      <c r="B28" s="1835" t="s">
        <v>74</v>
      </c>
      <c r="C28" s="1835"/>
      <c r="D28" s="1241"/>
      <c r="E28" s="1229"/>
      <c r="F28" s="1229"/>
      <c r="G28" s="1231">
        <v>2360946949</v>
      </c>
      <c r="H28" s="1232"/>
      <c r="I28" s="1233"/>
      <c r="J28" s="49" t="s">
        <v>677</v>
      </c>
      <c r="K28" s="49" t="s">
        <v>677</v>
      </c>
      <c r="L28" s="49"/>
      <c r="M28" s="1231">
        <v>2360946949</v>
      </c>
      <c r="N28" s="1233"/>
      <c r="O28" s="1234" t="s">
        <v>2328</v>
      </c>
    </row>
    <row r="29" spans="1:15" ht="63.75">
      <c r="A29" s="1235">
        <v>113608003000001</v>
      </c>
      <c r="B29" s="1834" t="s">
        <v>2373</v>
      </c>
      <c r="C29" s="1229" t="s">
        <v>1002</v>
      </c>
      <c r="D29" s="1241"/>
      <c r="E29" s="1249"/>
      <c r="F29" s="1229" t="s">
        <v>2374</v>
      </c>
      <c r="G29" s="1231">
        <f>SUM(G30:G34)</f>
        <v>359578251</v>
      </c>
      <c r="H29" s="1076"/>
      <c r="I29" s="1233"/>
      <c r="J29" s="49" t="s">
        <v>677</v>
      </c>
      <c r="K29" s="49" t="s">
        <v>677</v>
      </c>
      <c r="L29" s="49"/>
      <c r="M29" s="1231">
        <f>SUM(M30:M34)</f>
        <v>398663198</v>
      </c>
      <c r="N29" s="1233"/>
      <c r="O29" s="1233"/>
    </row>
    <row r="30" spans="1:15" ht="89.25">
      <c r="A30" s="1235"/>
      <c r="B30" s="1834"/>
      <c r="C30" s="1237" t="s">
        <v>2375</v>
      </c>
      <c r="D30" s="1238" t="s">
        <v>2376</v>
      </c>
      <c r="E30" s="1233"/>
      <c r="F30" s="1237" t="s">
        <v>2377</v>
      </c>
      <c r="G30" s="1250">
        <v>64178251</v>
      </c>
      <c r="H30" s="1242" t="s">
        <v>89</v>
      </c>
      <c r="I30" s="1233"/>
      <c r="J30" s="49" t="s">
        <v>677</v>
      </c>
      <c r="K30" s="49" t="s">
        <v>677</v>
      </c>
      <c r="L30" s="1242" t="s">
        <v>91</v>
      </c>
      <c r="M30" s="1250">
        <v>59251110</v>
      </c>
      <c r="N30" s="49" t="s">
        <v>14</v>
      </c>
      <c r="O30" s="1243" t="s">
        <v>2342</v>
      </c>
    </row>
    <row r="31" spans="1:15" ht="76.5">
      <c r="A31" s="1235"/>
      <c r="B31" s="1834"/>
      <c r="C31" s="1237" t="s">
        <v>2378</v>
      </c>
      <c r="D31" s="1251" t="s">
        <v>740</v>
      </c>
      <c r="E31" s="1233"/>
      <c r="F31" s="1251" t="s">
        <v>2379</v>
      </c>
      <c r="G31" s="1250">
        <v>25000000</v>
      </c>
      <c r="H31" s="1242" t="s">
        <v>91</v>
      </c>
      <c r="I31" s="1233"/>
      <c r="J31" s="49" t="s">
        <v>677</v>
      </c>
      <c r="K31" s="49" t="s">
        <v>677</v>
      </c>
      <c r="L31" s="1242" t="s">
        <v>90</v>
      </c>
      <c r="M31" s="1250">
        <v>19969305</v>
      </c>
      <c r="N31" s="49" t="s">
        <v>14</v>
      </c>
      <c r="O31" s="1243" t="s">
        <v>2342</v>
      </c>
    </row>
    <row r="32" spans="1:15" ht="242.25">
      <c r="A32" s="1235"/>
      <c r="B32" s="1834"/>
      <c r="C32" s="1237" t="s">
        <v>2380</v>
      </c>
      <c r="D32" s="1251" t="s">
        <v>685</v>
      </c>
      <c r="E32" s="1233"/>
      <c r="F32" s="1251" t="s">
        <v>2381</v>
      </c>
      <c r="G32" s="1250">
        <v>70400000</v>
      </c>
      <c r="H32" s="1242" t="s">
        <v>91</v>
      </c>
      <c r="I32" s="1233"/>
      <c r="J32" s="49" t="s">
        <v>677</v>
      </c>
      <c r="K32" s="49" t="s">
        <v>677</v>
      </c>
      <c r="L32" s="1242" t="s">
        <v>79</v>
      </c>
      <c r="M32" s="1250">
        <v>125578338</v>
      </c>
      <c r="N32" s="49" t="s">
        <v>14</v>
      </c>
      <c r="O32" s="1243" t="s">
        <v>2342</v>
      </c>
    </row>
    <row r="33" spans="1:15" ht="89.25">
      <c r="A33" s="1235"/>
      <c r="B33" s="1834"/>
      <c r="C33" s="1237" t="s">
        <v>2382</v>
      </c>
      <c r="D33" s="1251" t="s">
        <v>2383</v>
      </c>
      <c r="E33" s="1233"/>
      <c r="F33" s="1251" t="s">
        <v>2384</v>
      </c>
      <c r="G33" s="1250">
        <v>75000000</v>
      </c>
      <c r="H33" s="1242" t="s">
        <v>91</v>
      </c>
      <c r="I33" s="1233"/>
      <c r="J33" s="49" t="s">
        <v>677</v>
      </c>
      <c r="K33" s="49" t="s">
        <v>677</v>
      </c>
      <c r="L33" s="1242" t="s">
        <v>70</v>
      </c>
      <c r="M33" s="1250">
        <v>72456851</v>
      </c>
      <c r="N33" s="49" t="s">
        <v>14</v>
      </c>
      <c r="O33" s="1243" t="s">
        <v>2342</v>
      </c>
    </row>
    <row r="34" spans="1:15" ht="140.25">
      <c r="A34" s="1235"/>
      <c r="B34" s="1834"/>
      <c r="C34" s="1237" t="s">
        <v>2385</v>
      </c>
      <c r="D34" s="1251" t="s">
        <v>2386</v>
      </c>
      <c r="E34" s="1233"/>
      <c r="F34" s="1251" t="s">
        <v>2387</v>
      </c>
      <c r="G34" s="1250">
        <v>125000000</v>
      </c>
      <c r="H34" s="1076"/>
      <c r="I34" s="1233"/>
      <c r="J34" s="49" t="s">
        <v>677</v>
      </c>
      <c r="K34" s="49" t="s">
        <v>677</v>
      </c>
      <c r="L34" s="1076" t="s">
        <v>90</v>
      </c>
      <c r="M34" s="1250">
        <v>121407594</v>
      </c>
      <c r="N34" s="1252" t="s">
        <v>14</v>
      </c>
      <c r="O34" s="1252" t="s">
        <v>2388</v>
      </c>
    </row>
    <row r="35" spans="1:15" ht="51">
      <c r="A35" s="1235"/>
      <c r="B35" s="1834"/>
      <c r="C35" s="1237" t="s">
        <v>2389</v>
      </c>
      <c r="D35" s="1251" t="s">
        <v>2390</v>
      </c>
      <c r="E35" s="1233"/>
      <c r="F35" s="1251" t="s">
        <v>2391</v>
      </c>
      <c r="G35" s="1250"/>
      <c r="H35" s="1242" t="s">
        <v>91</v>
      </c>
      <c r="I35" s="1233"/>
      <c r="J35" s="49" t="s">
        <v>677</v>
      </c>
      <c r="K35" s="49" t="s">
        <v>677</v>
      </c>
      <c r="L35" s="1242" t="s">
        <v>79</v>
      </c>
      <c r="M35" s="1250">
        <v>12773813</v>
      </c>
      <c r="N35" s="49" t="s">
        <v>14</v>
      </c>
      <c r="O35" s="1243" t="s">
        <v>2342</v>
      </c>
    </row>
    <row r="36" spans="1:15" ht="63.75">
      <c r="A36" s="1235"/>
      <c r="B36" s="1834"/>
      <c r="C36" s="1237" t="s">
        <v>2392</v>
      </c>
      <c r="D36" s="1251" t="s">
        <v>2354</v>
      </c>
      <c r="E36" s="1233"/>
      <c r="F36" s="1251" t="s">
        <v>2393</v>
      </c>
      <c r="G36" s="1250"/>
      <c r="H36" s="1076"/>
      <c r="I36" s="1233"/>
      <c r="J36" s="49" t="s">
        <v>677</v>
      </c>
      <c r="K36" s="49" t="s">
        <v>677</v>
      </c>
      <c r="L36" s="49" t="s">
        <v>90</v>
      </c>
      <c r="M36" s="1250">
        <v>128459206</v>
      </c>
      <c r="N36" s="1244" t="s">
        <v>14</v>
      </c>
      <c r="O36" s="1243" t="s">
        <v>2342</v>
      </c>
    </row>
    <row r="37" spans="1:15" ht="102">
      <c r="A37" s="1235"/>
      <c r="B37" s="1834"/>
      <c r="C37" s="1246" t="s">
        <v>2394</v>
      </c>
      <c r="D37" s="1251" t="s">
        <v>424</v>
      </c>
      <c r="E37" s="1253"/>
      <c r="F37" s="1251" t="s">
        <v>2395</v>
      </c>
      <c r="G37" s="1254">
        <v>125000000</v>
      </c>
      <c r="H37" s="1255" t="s">
        <v>13</v>
      </c>
      <c r="I37" s="1253"/>
      <c r="J37" s="326" t="s">
        <v>677</v>
      </c>
      <c r="K37" s="326" t="s">
        <v>677</v>
      </c>
      <c r="L37" s="1255" t="s">
        <v>13</v>
      </c>
      <c r="M37" s="1254">
        <v>125000000</v>
      </c>
      <c r="N37" s="326" t="s">
        <v>14</v>
      </c>
      <c r="O37" s="326" t="s">
        <v>676</v>
      </c>
    </row>
    <row r="38" spans="1:15" ht="76.5">
      <c r="A38" s="1235"/>
      <c r="B38" s="1834"/>
      <c r="C38" s="1237" t="s">
        <v>2396</v>
      </c>
      <c r="D38" s="1251" t="s">
        <v>2397</v>
      </c>
      <c r="E38" s="1233"/>
      <c r="F38" s="1251" t="s">
        <v>2398</v>
      </c>
      <c r="G38" s="1250">
        <v>50000000</v>
      </c>
      <c r="H38" s="1076"/>
      <c r="I38" s="1233"/>
      <c r="J38" s="49" t="s">
        <v>677</v>
      </c>
      <c r="K38" s="49" t="s">
        <v>677</v>
      </c>
      <c r="L38" s="49"/>
      <c r="M38" s="1250">
        <v>50000000</v>
      </c>
      <c r="N38" s="1233"/>
      <c r="O38" s="1234" t="s">
        <v>2328</v>
      </c>
    </row>
    <row r="39" spans="1:15" ht="102">
      <c r="A39" s="1235"/>
      <c r="B39" s="1834"/>
      <c r="C39" s="1237" t="s">
        <v>2399</v>
      </c>
      <c r="D39" s="1251" t="s">
        <v>389</v>
      </c>
      <c r="E39" s="1233"/>
      <c r="F39" s="1251" t="s">
        <v>2400</v>
      </c>
      <c r="G39" s="1250">
        <v>97000000</v>
      </c>
      <c r="H39" s="1076"/>
      <c r="I39" s="1233"/>
      <c r="J39" s="49" t="s">
        <v>677</v>
      </c>
      <c r="K39" s="49" t="s">
        <v>677</v>
      </c>
      <c r="L39" s="49"/>
      <c r="M39" s="1250">
        <v>97000000</v>
      </c>
      <c r="N39" s="1233"/>
      <c r="O39" s="1234" t="s">
        <v>2328</v>
      </c>
    </row>
    <row r="40" spans="1:15" ht="63.75">
      <c r="A40" s="1235">
        <v>113608003000002</v>
      </c>
      <c r="B40" s="1834" t="s">
        <v>739</v>
      </c>
      <c r="C40" s="1229" t="s">
        <v>739</v>
      </c>
      <c r="D40" s="1249"/>
      <c r="E40" s="1249"/>
      <c r="F40" s="1229" t="s">
        <v>2401</v>
      </c>
      <c r="G40" s="1231">
        <f>SUM(G41:G45)</f>
        <v>290000000</v>
      </c>
      <c r="H40" s="1076"/>
      <c r="I40" s="1233"/>
      <c r="J40" s="49" t="s">
        <v>677</v>
      </c>
      <c r="K40" s="49" t="s">
        <v>677</v>
      </c>
      <c r="L40" s="49"/>
      <c r="M40" s="1231">
        <f>SUM(M41:M45)</f>
        <v>290000000</v>
      </c>
      <c r="N40" s="1233"/>
      <c r="O40" s="1234" t="s">
        <v>2328</v>
      </c>
    </row>
    <row r="41" spans="1:15" ht="63.75">
      <c r="A41" s="1235"/>
      <c r="B41" s="1834"/>
      <c r="C41" s="1237" t="s">
        <v>2402</v>
      </c>
      <c r="D41" s="1238" t="s">
        <v>2403</v>
      </c>
      <c r="E41" s="1233"/>
      <c r="F41" s="1237" t="s">
        <v>2404</v>
      </c>
      <c r="G41" s="1250">
        <v>80000000</v>
      </c>
      <c r="H41" s="1076"/>
      <c r="I41" s="1233"/>
      <c r="J41" s="49" t="s">
        <v>677</v>
      </c>
      <c r="K41" s="49" t="s">
        <v>677</v>
      </c>
      <c r="L41" s="49"/>
      <c r="M41" s="1250">
        <v>80000000</v>
      </c>
      <c r="N41" s="1233"/>
      <c r="O41" s="1234" t="s">
        <v>2328</v>
      </c>
    </row>
    <row r="42" spans="1:15" ht="76.5">
      <c r="A42" s="1235"/>
      <c r="B42" s="1834"/>
      <c r="C42" s="1246" t="s">
        <v>2405</v>
      </c>
      <c r="D42" s="1238" t="s">
        <v>424</v>
      </c>
      <c r="E42" s="1233"/>
      <c r="F42" s="1237" t="s">
        <v>2406</v>
      </c>
      <c r="G42" s="1250">
        <v>40000000</v>
      </c>
      <c r="H42" s="1076"/>
      <c r="I42" s="1233"/>
      <c r="J42" s="49" t="s">
        <v>677</v>
      </c>
      <c r="K42" s="49" t="s">
        <v>677</v>
      </c>
      <c r="L42" s="49"/>
      <c r="M42" s="1250">
        <v>40000000</v>
      </c>
      <c r="N42" s="1233"/>
      <c r="O42" s="1234" t="s">
        <v>2328</v>
      </c>
    </row>
    <row r="43" spans="1:15" ht="76.5">
      <c r="A43" s="1235"/>
      <c r="B43" s="1834"/>
      <c r="C43" s="1246" t="s">
        <v>2402</v>
      </c>
      <c r="D43" s="1237" t="s">
        <v>2407</v>
      </c>
      <c r="E43" s="1233"/>
      <c r="F43" s="1237" t="s">
        <v>2408</v>
      </c>
      <c r="G43" s="1250">
        <v>100000000</v>
      </c>
      <c r="H43" s="1076"/>
      <c r="I43" s="1233"/>
      <c r="J43" s="49" t="s">
        <v>677</v>
      </c>
      <c r="K43" s="49" t="s">
        <v>677</v>
      </c>
      <c r="L43" s="49"/>
      <c r="M43" s="1250">
        <v>100000000</v>
      </c>
      <c r="N43" s="1233"/>
      <c r="O43" s="1234" t="s">
        <v>2328</v>
      </c>
    </row>
    <row r="44" spans="1:15" ht="89.25">
      <c r="A44" s="1235"/>
      <c r="B44" s="1834"/>
      <c r="C44" s="1246" t="s">
        <v>2409</v>
      </c>
      <c r="D44" s="1237" t="s">
        <v>2407</v>
      </c>
      <c r="E44" s="1233"/>
      <c r="F44" s="1256" t="s">
        <v>2410</v>
      </c>
      <c r="G44" s="1250">
        <v>50000000</v>
      </c>
      <c r="H44" s="1076"/>
      <c r="I44" s="1233"/>
      <c r="J44" s="49" t="s">
        <v>677</v>
      </c>
      <c r="K44" s="49" t="s">
        <v>677</v>
      </c>
      <c r="L44" s="49"/>
      <c r="M44" s="1250">
        <v>50000000</v>
      </c>
      <c r="N44" s="1233"/>
      <c r="O44" s="1234" t="s">
        <v>2328</v>
      </c>
    </row>
    <row r="45" spans="1:15" ht="76.5">
      <c r="A45" s="1235"/>
      <c r="B45" s="1834"/>
      <c r="C45" s="1246" t="s">
        <v>2402</v>
      </c>
      <c r="D45" s="1237" t="s">
        <v>2407</v>
      </c>
      <c r="E45" s="1233"/>
      <c r="F45" s="1256" t="s">
        <v>2411</v>
      </c>
      <c r="G45" s="1250">
        <v>20000000</v>
      </c>
      <c r="H45" s="1076"/>
      <c r="I45" s="1233"/>
      <c r="J45" s="49" t="s">
        <v>677</v>
      </c>
      <c r="K45" s="49" t="s">
        <v>677</v>
      </c>
      <c r="L45" s="49"/>
      <c r="M45" s="1250">
        <v>20000000</v>
      </c>
      <c r="N45" s="1233"/>
      <c r="O45" s="1234" t="s">
        <v>2328</v>
      </c>
    </row>
    <row r="46" spans="1:15" ht="51">
      <c r="A46" s="1235">
        <v>113608003000003</v>
      </c>
      <c r="B46" s="1834" t="s">
        <v>175</v>
      </c>
      <c r="C46" s="1229" t="s">
        <v>175</v>
      </c>
      <c r="D46" s="1249"/>
      <c r="E46" s="1249"/>
      <c r="F46" s="1229" t="s">
        <v>2412</v>
      </c>
      <c r="G46" s="1231">
        <f>SUM(G47:G55)</f>
        <v>502907447</v>
      </c>
      <c r="H46" s="1232"/>
      <c r="I46" s="1233"/>
      <c r="J46" s="49" t="s">
        <v>677</v>
      </c>
      <c r="K46" s="49" t="s">
        <v>677</v>
      </c>
      <c r="L46" s="49"/>
      <c r="M46" s="1231">
        <f>SUM(M47:M55)</f>
        <v>502906697</v>
      </c>
      <c r="N46" s="1233"/>
      <c r="O46" s="1233"/>
    </row>
    <row r="47" spans="1:15" ht="76.5">
      <c r="A47" s="1235"/>
      <c r="B47" s="1834"/>
      <c r="C47" s="1237" t="s">
        <v>2413</v>
      </c>
      <c r="D47" s="1238" t="s">
        <v>2403</v>
      </c>
      <c r="E47" s="1233"/>
      <c r="F47" s="1237" t="s">
        <v>2414</v>
      </c>
      <c r="G47" s="1250">
        <v>56000000</v>
      </c>
      <c r="H47" s="1232"/>
      <c r="I47" s="1233"/>
      <c r="J47" s="49" t="s">
        <v>677</v>
      </c>
      <c r="K47" s="49" t="s">
        <v>677</v>
      </c>
      <c r="L47" s="49"/>
      <c r="M47" s="1250">
        <v>56000000</v>
      </c>
      <c r="N47" s="1233"/>
      <c r="O47" s="1234" t="s">
        <v>2328</v>
      </c>
    </row>
    <row r="48" spans="1:15" ht="51">
      <c r="A48" s="1235"/>
      <c r="B48" s="1834"/>
      <c r="C48" s="1257" t="s">
        <v>2415</v>
      </c>
      <c r="D48" s="1238" t="s">
        <v>2390</v>
      </c>
      <c r="E48" s="1233"/>
      <c r="F48" s="1237" t="s">
        <v>2416</v>
      </c>
      <c r="G48" s="1250">
        <v>20407447</v>
      </c>
      <c r="H48" s="1242" t="s">
        <v>89</v>
      </c>
      <c r="I48" s="1233"/>
      <c r="J48" s="49" t="s">
        <v>677</v>
      </c>
      <c r="K48" s="49" t="s">
        <v>677</v>
      </c>
      <c r="L48" s="1242" t="s">
        <v>91</v>
      </c>
      <c r="M48" s="1250">
        <v>20406697</v>
      </c>
      <c r="N48" s="49" t="s">
        <v>14</v>
      </c>
      <c r="O48" s="1243" t="s">
        <v>2342</v>
      </c>
    </row>
    <row r="49" spans="1:15" ht="89.25">
      <c r="A49" s="1235"/>
      <c r="B49" s="1834"/>
      <c r="C49" s="1246" t="s">
        <v>2417</v>
      </c>
      <c r="D49" s="1238" t="s">
        <v>2418</v>
      </c>
      <c r="E49" s="1233"/>
      <c r="F49" s="1237" t="s">
        <v>2419</v>
      </c>
      <c r="G49" s="1250">
        <v>50000000</v>
      </c>
      <c r="H49" s="1076"/>
      <c r="I49" s="1233"/>
      <c r="J49" s="49" t="s">
        <v>677</v>
      </c>
      <c r="K49" s="49" t="s">
        <v>677</v>
      </c>
      <c r="L49" s="49"/>
      <c r="M49" s="1250">
        <v>50000000</v>
      </c>
      <c r="N49" s="1233"/>
      <c r="O49" s="1234" t="s">
        <v>2328</v>
      </c>
    </row>
    <row r="50" spans="1:15" ht="51">
      <c r="A50" s="1235"/>
      <c r="B50" s="1834"/>
      <c r="C50" s="1246" t="s">
        <v>2420</v>
      </c>
      <c r="D50" s="1238" t="s">
        <v>2403</v>
      </c>
      <c r="E50" s="1233"/>
      <c r="F50" s="1237" t="s">
        <v>2421</v>
      </c>
      <c r="G50" s="1250">
        <v>26500000</v>
      </c>
      <c r="H50" s="1076"/>
      <c r="I50" s="1233"/>
      <c r="J50" s="49" t="s">
        <v>677</v>
      </c>
      <c r="K50" s="49" t="s">
        <v>677</v>
      </c>
      <c r="L50" s="49"/>
      <c r="M50" s="1250">
        <v>26500000</v>
      </c>
      <c r="N50" s="1233"/>
      <c r="O50" s="1234" t="s">
        <v>2328</v>
      </c>
    </row>
    <row r="51" spans="1:15" ht="63.75">
      <c r="A51" s="1235"/>
      <c r="B51" s="1834"/>
      <c r="C51" s="1246" t="s">
        <v>2422</v>
      </c>
      <c r="D51" s="1829" t="s">
        <v>424</v>
      </c>
      <c r="E51" s="1233"/>
      <c r="F51" s="1237" t="s">
        <v>2423</v>
      </c>
      <c r="G51" s="1250">
        <v>60000000</v>
      </c>
      <c r="H51" s="1076"/>
      <c r="I51" s="1233"/>
      <c r="J51" s="49" t="s">
        <v>677</v>
      </c>
      <c r="K51" s="49" t="s">
        <v>677</v>
      </c>
      <c r="L51" s="49"/>
      <c r="M51" s="1250">
        <v>60000000</v>
      </c>
      <c r="N51" s="1233"/>
      <c r="O51" s="1234" t="s">
        <v>2328</v>
      </c>
    </row>
    <row r="52" spans="1:15" ht="63.75">
      <c r="A52" s="1235"/>
      <c r="B52" s="1834"/>
      <c r="C52" s="1246" t="s">
        <v>2424</v>
      </c>
      <c r="D52" s="1829"/>
      <c r="E52" s="1233"/>
      <c r="F52" s="1237" t="s">
        <v>2425</v>
      </c>
      <c r="G52" s="1250">
        <v>35000000</v>
      </c>
      <c r="H52" s="1076"/>
      <c r="I52" s="1233"/>
      <c r="J52" s="49" t="s">
        <v>677</v>
      </c>
      <c r="K52" s="49" t="s">
        <v>677</v>
      </c>
      <c r="L52" s="49"/>
      <c r="M52" s="1250">
        <v>35000000</v>
      </c>
      <c r="N52" s="1233"/>
      <c r="O52" s="1234" t="s">
        <v>2328</v>
      </c>
    </row>
    <row r="53" spans="1:15" ht="89.25">
      <c r="A53" s="1235"/>
      <c r="B53" s="1834"/>
      <c r="C53" s="1246" t="s">
        <v>2426</v>
      </c>
      <c r="D53" s="1829" t="s">
        <v>2407</v>
      </c>
      <c r="E53" s="1233"/>
      <c r="F53" s="1237" t="s">
        <v>2427</v>
      </c>
      <c r="G53" s="1250">
        <v>70000000</v>
      </c>
      <c r="H53" s="1076"/>
      <c r="I53" s="1233"/>
      <c r="J53" s="49" t="s">
        <v>677</v>
      </c>
      <c r="K53" s="49" t="s">
        <v>677</v>
      </c>
      <c r="L53" s="49"/>
      <c r="M53" s="1250">
        <v>70000000</v>
      </c>
      <c r="N53" s="1233"/>
      <c r="O53" s="1234" t="s">
        <v>2328</v>
      </c>
    </row>
    <row r="54" spans="1:15" ht="38.25">
      <c r="A54" s="1235"/>
      <c r="B54" s="1834"/>
      <c r="C54" s="1246" t="s">
        <v>2428</v>
      </c>
      <c r="D54" s="1829"/>
      <c r="E54" s="1233"/>
      <c r="F54" s="1237" t="s">
        <v>2429</v>
      </c>
      <c r="G54" s="1250">
        <v>125000000</v>
      </c>
      <c r="H54" s="1076"/>
      <c r="I54" s="1233"/>
      <c r="J54" s="49" t="s">
        <v>677</v>
      </c>
      <c r="K54" s="49" t="s">
        <v>677</v>
      </c>
      <c r="L54" s="49"/>
      <c r="M54" s="1250">
        <v>125000000</v>
      </c>
      <c r="N54" s="1233"/>
      <c r="O54" s="1234" t="s">
        <v>2328</v>
      </c>
    </row>
    <row r="55" spans="1:15" ht="63.75">
      <c r="A55" s="1235"/>
      <c r="B55" s="1834"/>
      <c r="C55" s="1246" t="s">
        <v>2430</v>
      </c>
      <c r="D55" s="1829"/>
      <c r="E55" s="1233"/>
      <c r="F55" s="1237" t="s">
        <v>2431</v>
      </c>
      <c r="G55" s="1250">
        <v>60000000</v>
      </c>
      <c r="H55" s="1076"/>
      <c r="I55" s="1233"/>
      <c r="J55" s="49" t="s">
        <v>677</v>
      </c>
      <c r="K55" s="49" t="s">
        <v>677</v>
      </c>
      <c r="L55" s="49"/>
      <c r="M55" s="1250">
        <v>60000000</v>
      </c>
      <c r="N55" s="1233"/>
      <c r="O55" s="1234" t="s">
        <v>2328</v>
      </c>
    </row>
    <row r="56" spans="1:15" ht="76.5">
      <c r="A56" s="1235">
        <v>113608003000004</v>
      </c>
      <c r="B56" s="1834" t="s">
        <v>179</v>
      </c>
      <c r="C56" s="1249" t="s">
        <v>179</v>
      </c>
      <c r="D56" s="1249"/>
      <c r="E56" s="1249"/>
      <c r="F56" s="1229" t="s">
        <v>2432</v>
      </c>
      <c r="G56" s="1231">
        <f>SUM(G57:G71)</f>
        <v>737115200</v>
      </c>
      <c r="H56" s="1076"/>
      <c r="I56" s="1233"/>
      <c r="J56" s="49" t="s">
        <v>677</v>
      </c>
      <c r="K56" s="49" t="s">
        <v>677</v>
      </c>
      <c r="L56" s="49"/>
      <c r="M56" s="1231">
        <f>SUM(M57:M71)</f>
        <v>810094859</v>
      </c>
      <c r="N56" s="1233"/>
      <c r="O56" s="1233"/>
    </row>
    <row r="57" spans="1:15" ht="51">
      <c r="A57" s="1235"/>
      <c r="B57" s="1834"/>
      <c r="C57" s="1237" t="s">
        <v>2433</v>
      </c>
      <c r="D57" s="1251" t="s">
        <v>2376</v>
      </c>
      <c r="E57" s="1233"/>
      <c r="F57" s="1251" t="s">
        <v>2434</v>
      </c>
      <c r="G57" s="1250">
        <v>55000000</v>
      </c>
      <c r="H57" s="1242" t="s">
        <v>13</v>
      </c>
      <c r="I57" s="1233"/>
      <c r="J57" s="49" t="s">
        <v>677</v>
      </c>
      <c r="K57" s="49" t="s">
        <v>677</v>
      </c>
      <c r="L57" s="1242" t="s">
        <v>36</v>
      </c>
      <c r="M57" s="1250">
        <v>20972800</v>
      </c>
      <c r="N57" s="49" t="s">
        <v>14</v>
      </c>
      <c r="O57" s="1243" t="s">
        <v>2342</v>
      </c>
    </row>
    <row r="58" spans="1:15" ht="51">
      <c r="A58" s="1235"/>
      <c r="B58" s="1834"/>
      <c r="C58" s="1237" t="s">
        <v>2433</v>
      </c>
      <c r="D58" s="1251" t="s">
        <v>424</v>
      </c>
      <c r="E58" s="1233"/>
      <c r="F58" s="1251" t="s">
        <v>2435</v>
      </c>
      <c r="G58" s="1250">
        <v>57300000</v>
      </c>
      <c r="H58" s="1242" t="s">
        <v>13</v>
      </c>
      <c r="I58" s="1233"/>
      <c r="J58" s="49" t="s">
        <v>677</v>
      </c>
      <c r="K58" s="49" t="s">
        <v>677</v>
      </c>
      <c r="L58" s="1242" t="s">
        <v>36</v>
      </c>
      <c r="M58" s="1250">
        <v>26978454</v>
      </c>
      <c r="N58" s="49" t="s">
        <v>14</v>
      </c>
      <c r="O58" s="1243" t="s">
        <v>2342</v>
      </c>
    </row>
    <row r="59" spans="1:15" ht="51">
      <c r="A59" s="1235"/>
      <c r="B59" s="1834"/>
      <c r="C59" s="1237" t="s">
        <v>2433</v>
      </c>
      <c r="D59" s="1251" t="s">
        <v>2436</v>
      </c>
      <c r="E59" s="1233"/>
      <c r="F59" s="1251" t="s">
        <v>2437</v>
      </c>
      <c r="G59" s="1250">
        <v>60000000</v>
      </c>
      <c r="H59" s="1242" t="s">
        <v>13</v>
      </c>
      <c r="I59" s="1233"/>
      <c r="J59" s="49" t="s">
        <v>677</v>
      </c>
      <c r="K59" s="49" t="s">
        <v>677</v>
      </c>
      <c r="L59" s="1242" t="s">
        <v>13</v>
      </c>
      <c r="M59" s="1250">
        <v>348399604</v>
      </c>
      <c r="N59" s="49" t="s">
        <v>14</v>
      </c>
      <c r="O59" s="1243" t="s">
        <v>2342</v>
      </c>
    </row>
    <row r="60" spans="1:15" ht="38.25">
      <c r="A60" s="1235"/>
      <c r="B60" s="1834"/>
      <c r="C60" s="1258" t="s">
        <v>2433</v>
      </c>
      <c r="D60" s="1259" t="s">
        <v>740</v>
      </c>
      <c r="E60" s="1260"/>
      <c r="F60" s="1259" t="s">
        <v>2438</v>
      </c>
      <c r="G60" s="1261">
        <v>45000000</v>
      </c>
      <c r="H60" s="1262" t="s">
        <v>13</v>
      </c>
      <c r="I60" s="1260"/>
      <c r="J60" s="1263" t="s">
        <v>677</v>
      </c>
      <c r="K60" s="1263" t="s">
        <v>677</v>
      </c>
      <c r="L60" s="1262" t="s">
        <v>13</v>
      </c>
      <c r="M60" s="1261">
        <v>42262505</v>
      </c>
      <c r="N60" s="1263" t="s">
        <v>37</v>
      </c>
      <c r="O60" s="1259" t="s">
        <v>2439</v>
      </c>
    </row>
    <row r="61" spans="1:15" ht="51">
      <c r="A61" s="1235"/>
      <c r="B61" s="1834"/>
      <c r="C61" s="1237" t="s">
        <v>2433</v>
      </c>
      <c r="D61" s="1251" t="s">
        <v>685</v>
      </c>
      <c r="E61" s="1233"/>
      <c r="F61" s="1251" t="s">
        <v>2440</v>
      </c>
      <c r="G61" s="1250">
        <v>97500000</v>
      </c>
      <c r="H61" s="1242" t="s">
        <v>13</v>
      </c>
      <c r="I61" s="1233"/>
      <c r="J61" s="49" t="s">
        <v>677</v>
      </c>
      <c r="K61" s="49" t="s">
        <v>677</v>
      </c>
      <c r="L61" s="1242" t="s">
        <v>13</v>
      </c>
      <c r="M61" s="1250">
        <v>50924789</v>
      </c>
      <c r="N61" s="49" t="s">
        <v>14</v>
      </c>
      <c r="O61" s="1243" t="s">
        <v>2342</v>
      </c>
    </row>
    <row r="62" spans="1:15" ht="51">
      <c r="A62" s="1235"/>
      <c r="B62" s="1834"/>
      <c r="C62" s="1237" t="s">
        <v>2433</v>
      </c>
      <c r="D62" s="1251" t="s">
        <v>2418</v>
      </c>
      <c r="E62" s="1233"/>
      <c r="F62" s="1251" t="s">
        <v>2441</v>
      </c>
      <c r="G62" s="1250">
        <v>70000000</v>
      </c>
      <c r="H62" s="1242" t="s">
        <v>13</v>
      </c>
      <c r="I62" s="1233"/>
      <c r="J62" s="49" t="s">
        <v>677</v>
      </c>
      <c r="K62" s="49" t="s">
        <v>677</v>
      </c>
      <c r="L62" s="1242" t="s">
        <v>36</v>
      </c>
      <c r="M62" s="1250">
        <v>35927483</v>
      </c>
      <c r="N62" s="49" t="s">
        <v>14</v>
      </c>
      <c r="O62" s="1243" t="s">
        <v>2342</v>
      </c>
    </row>
    <row r="63" spans="1:15" ht="51">
      <c r="A63" s="1235"/>
      <c r="B63" s="1834"/>
      <c r="C63" s="1237" t="s">
        <v>2433</v>
      </c>
      <c r="D63" s="1251" t="s">
        <v>389</v>
      </c>
      <c r="E63" s="1233"/>
      <c r="F63" s="1251" t="s">
        <v>2442</v>
      </c>
      <c r="G63" s="1250">
        <v>100000000</v>
      </c>
      <c r="H63" s="1242" t="s">
        <v>6</v>
      </c>
      <c r="I63" s="1233"/>
      <c r="J63" s="49" t="s">
        <v>677</v>
      </c>
      <c r="K63" s="49" t="s">
        <v>677</v>
      </c>
      <c r="L63" s="1242" t="s">
        <v>13</v>
      </c>
      <c r="M63" s="1250">
        <v>47322400</v>
      </c>
      <c r="N63" s="49" t="s">
        <v>14</v>
      </c>
      <c r="O63" s="1243" t="s">
        <v>2342</v>
      </c>
    </row>
    <row r="64" spans="1:15" ht="38.25">
      <c r="A64" s="1235"/>
      <c r="B64" s="1834"/>
      <c r="C64" s="1258" t="s">
        <v>2433</v>
      </c>
      <c r="D64" s="1259" t="s">
        <v>2390</v>
      </c>
      <c r="E64" s="1260"/>
      <c r="F64" s="1259" t="s">
        <v>2443</v>
      </c>
      <c r="G64" s="1261">
        <v>40000000</v>
      </c>
      <c r="H64" s="1262" t="s">
        <v>13</v>
      </c>
      <c r="I64" s="1260"/>
      <c r="J64" s="1263" t="s">
        <v>677</v>
      </c>
      <c r="K64" s="1263" t="s">
        <v>677</v>
      </c>
      <c r="L64" s="1262" t="s">
        <v>13</v>
      </c>
      <c r="M64" s="1261">
        <v>26448000</v>
      </c>
      <c r="N64" s="1263" t="s">
        <v>37</v>
      </c>
      <c r="O64" s="1259" t="s">
        <v>2439</v>
      </c>
    </row>
    <row r="65" spans="1:15" ht="38.25">
      <c r="A65" s="1235"/>
      <c r="B65" s="1834"/>
      <c r="C65" s="1258" t="s">
        <v>2433</v>
      </c>
      <c r="D65" s="1259" t="s">
        <v>2403</v>
      </c>
      <c r="E65" s="1260"/>
      <c r="F65" s="1259" t="s">
        <v>2444</v>
      </c>
      <c r="G65" s="1261">
        <v>54740000</v>
      </c>
      <c r="H65" s="1262" t="s">
        <v>13</v>
      </c>
      <c r="I65" s="1260"/>
      <c r="J65" s="1263" t="s">
        <v>677</v>
      </c>
      <c r="K65" s="1263" t="s">
        <v>677</v>
      </c>
      <c r="L65" s="1262" t="s">
        <v>36</v>
      </c>
      <c r="M65" s="1261">
        <v>22930880</v>
      </c>
      <c r="N65" s="1263" t="s">
        <v>37</v>
      </c>
      <c r="O65" s="1259" t="s">
        <v>2439</v>
      </c>
    </row>
    <row r="66" spans="1:15" ht="51">
      <c r="A66" s="1235"/>
      <c r="B66" s="1834"/>
      <c r="C66" s="1237" t="s">
        <v>2433</v>
      </c>
      <c r="D66" s="1251" t="s">
        <v>2407</v>
      </c>
      <c r="E66" s="1233"/>
      <c r="F66" s="1251" t="s">
        <v>2445</v>
      </c>
      <c r="G66" s="1250">
        <v>60000000</v>
      </c>
      <c r="H66" s="1242" t="s">
        <v>13</v>
      </c>
      <c r="I66" s="1233"/>
      <c r="J66" s="49" t="s">
        <v>677</v>
      </c>
      <c r="K66" s="49" t="s">
        <v>677</v>
      </c>
      <c r="L66" s="1242" t="s">
        <v>36</v>
      </c>
      <c r="M66" s="1250">
        <v>24233755</v>
      </c>
      <c r="N66" s="49" t="s">
        <v>14</v>
      </c>
      <c r="O66" s="1243" t="s">
        <v>2342</v>
      </c>
    </row>
    <row r="67" spans="1:15" ht="76.5">
      <c r="A67" s="1235"/>
      <c r="B67" s="1834"/>
      <c r="C67" s="1237" t="s">
        <v>2433</v>
      </c>
      <c r="D67" s="1251" t="s">
        <v>2383</v>
      </c>
      <c r="E67" s="1233"/>
      <c r="F67" s="1251" t="s">
        <v>2446</v>
      </c>
      <c r="G67" s="1250">
        <v>47575200</v>
      </c>
      <c r="H67" s="1242" t="s">
        <v>13</v>
      </c>
      <c r="I67" s="1233"/>
      <c r="J67" s="49" t="s">
        <v>677</v>
      </c>
      <c r="K67" s="49" t="s">
        <v>677</v>
      </c>
      <c r="L67" s="1242" t="s">
        <v>13</v>
      </c>
      <c r="M67" s="1250">
        <v>34507680</v>
      </c>
      <c r="N67" s="49" t="s">
        <v>14</v>
      </c>
      <c r="O67" s="1243" t="s">
        <v>2342</v>
      </c>
    </row>
    <row r="68" spans="1:15" ht="51">
      <c r="A68" s="1235"/>
      <c r="B68" s="1834"/>
      <c r="C68" s="1237" t="s">
        <v>2433</v>
      </c>
      <c r="D68" s="1251" t="s">
        <v>496</v>
      </c>
      <c r="E68" s="1233"/>
      <c r="F68" s="1251" t="s">
        <v>2447</v>
      </c>
      <c r="G68" s="1250"/>
      <c r="H68" s="1242" t="s">
        <v>13</v>
      </c>
      <c r="I68" s="1233"/>
      <c r="J68" s="49" t="s">
        <v>677</v>
      </c>
      <c r="K68" s="49" t="s">
        <v>677</v>
      </c>
      <c r="L68" s="1242" t="s">
        <v>13</v>
      </c>
      <c r="M68" s="1250">
        <v>43021709</v>
      </c>
      <c r="N68" s="49" t="s">
        <v>14</v>
      </c>
      <c r="O68" s="1243" t="s">
        <v>2342</v>
      </c>
    </row>
    <row r="69" spans="1:15" ht="51">
      <c r="A69" s="1235"/>
      <c r="B69" s="1834"/>
      <c r="C69" s="1237" t="s">
        <v>2433</v>
      </c>
      <c r="D69" s="1251" t="s">
        <v>685</v>
      </c>
      <c r="E69" s="1233"/>
      <c r="F69" s="1251" t="s">
        <v>2448</v>
      </c>
      <c r="G69" s="1250"/>
      <c r="H69" s="1242" t="s">
        <v>13</v>
      </c>
      <c r="I69" s="1233"/>
      <c r="J69" s="49" t="s">
        <v>677</v>
      </c>
      <c r="K69" s="49" t="s">
        <v>677</v>
      </c>
      <c r="L69" s="1242" t="s">
        <v>13</v>
      </c>
      <c r="M69" s="1250">
        <v>17186560</v>
      </c>
      <c r="N69" s="49" t="s">
        <v>14</v>
      </c>
      <c r="O69" s="1243" t="s">
        <v>2342</v>
      </c>
    </row>
    <row r="70" spans="1:15" ht="51">
      <c r="A70" s="1235"/>
      <c r="B70" s="1834"/>
      <c r="C70" s="1237" t="s">
        <v>2433</v>
      </c>
      <c r="D70" s="1251" t="s">
        <v>389</v>
      </c>
      <c r="E70" s="1233"/>
      <c r="F70" s="1251" t="s">
        <v>2449</v>
      </c>
      <c r="G70" s="1250"/>
      <c r="H70" s="1242" t="s">
        <v>13</v>
      </c>
      <c r="I70" s="1233"/>
      <c r="J70" s="49" t="s">
        <v>677</v>
      </c>
      <c r="K70" s="49" t="s">
        <v>677</v>
      </c>
      <c r="L70" s="1242" t="s">
        <v>13</v>
      </c>
      <c r="M70" s="1250">
        <v>39904000</v>
      </c>
      <c r="N70" s="49" t="s">
        <v>14</v>
      </c>
      <c r="O70" s="1243" t="s">
        <v>2342</v>
      </c>
    </row>
    <row r="71" spans="1:15" ht="51">
      <c r="A71" s="1235"/>
      <c r="B71" s="1834"/>
      <c r="C71" s="1237" t="s">
        <v>2433</v>
      </c>
      <c r="D71" s="1251" t="s">
        <v>2450</v>
      </c>
      <c r="E71" s="1233"/>
      <c r="F71" s="1251" t="s">
        <v>2451</v>
      </c>
      <c r="G71" s="1250">
        <v>50000000</v>
      </c>
      <c r="H71" s="1242" t="s">
        <v>13</v>
      </c>
      <c r="I71" s="1233"/>
      <c r="J71" s="49" t="s">
        <v>677</v>
      </c>
      <c r="K71" s="49" t="s">
        <v>677</v>
      </c>
      <c r="L71" s="1242" t="s">
        <v>13</v>
      </c>
      <c r="M71" s="1250">
        <v>29074240</v>
      </c>
      <c r="N71" s="49" t="s">
        <v>14</v>
      </c>
      <c r="O71" s="1243" t="s">
        <v>2342</v>
      </c>
    </row>
    <row r="72" spans="1:15" ht="89.25">
      <c r="A72" s="1235"/>
      <c r="B72" s="1834"/>
      <c r="C72" s="1264" t="s">
        <v>2452</v>
      </c>
      <c r="D72" s="1251" t="s">
        <v>787</v>
      </c>
      <c r="E72" s="1233"/>
      <c r="F72" s="1251" t="s">
        <v>2453</v>
      </c>
      <c r="G72" s="1250">
        <v>100000000</v>
      </c>
      <c r="H72" s="1076"/>
      <c r="I72" s="1233"/>
      <c r="J72" s="49" t="s">
        <v>677</v>
      </c>
      <c r="K72" s="49" t="s">
        <v>677</v>
      </c>
      <c r="L72" s="49"/>
      <c r="M72" s="1250">
        <v>100000000</v>
      </c>
      <c r="N72" s="1233"/>
      <c r="O72" s="1234" t="s">
        <v>2328</v>
      </c>
    </row>
    <row r="73" spans="1:15" ht="63.75">
      <c r="A73" s="1235">
        <v>113608003000005</v>
      </c>
      <c r="B73" s="1834" t="s">
        <v>2454</v>
      </c>
      <c r="C73" s="1249" t="s">
        <v>2455</v>
      </c>
      <c r="D73" s="1249"/>
      <c r="E73" s="1249"/>
      <c r="F73" s="1229" t="s">
        <v>2456</v>
      </c>
      <c r="G73" s="1231"/>
      <c r="H73" s="1076"/>
      <c r="I73" s="1233"/>
      <c r="J73" s="49" t="s">
        <v>677</v>
      </c>
      <c r="K73" s="49" t="s">
        <v>677</v>
      </c>
      <c r="L73" s="49"/>
      <c r="M73" s="1231"/>
      <c r="N73" s="1233"/>
      <c r="O73" s="1233"/>
    </row>
    <row r="74" spans="1:15" ht="63.75">
      <c r="A74" s="1235"/>
      <c r="B74" s="1834"/>
      <c r="C74" s="1237" t="s">
        <v>2457</v>
      </c>
      <c r="D74" s="1251" t="s">
        <v>2450</v>
      </c>
      <c r="E74" s="1233"/>
      <c r="F74" s="1251" t="s">
        <v>2458</v>
      </c>
      <c r="G74" s="1250"/>
      <c r="H74" s="1076"/>
      <c r="I74" s="1233"/>
      <c r="J74" s="49" t="s">
        <v>677</v>
      </c>
      <c r="K74" s="49" t="s">
        <v>677</v>
      </c>
      <c r="L74" s="49"/>
      <c r="M74" s="1250"/>
      <c r="N74" s="1233"/>
      <c r="O74" s="1234" t="s">
        <v>2328</v>
      </c>
    </row>
    <row r="75" spans="1:15" ht="51">
      <c r="A75" s="1235"/>
      <c r="B75" s="1834"/>
      <c r="C75" s="1237" t="s">
        <v>2457</v>
      </c>
      <c r="D75" s="1251" t="s">
        <v>740</v>
      </c>
      <c r="E75" s="1233"/>
      <c r="F75" s="1251" t="s">
        <v>2459</v>
      </c>
      <c r="G75" s="1250"/>
      <c r="H75" s="1242"/>
      <c r="I75" s="1251"/>
      <c r="J75" s="49" t="s">
        <v>677</v>
      </c>
      <c r="K75" s="49" t="s">
        <v>677</v>
      </c>
      <c r="L75" s="49" t="s">
        <v>90</v>
      </c>
      <c r="M75" s="1250">
        <v>29419668</v>
      </c>
      <c r="N75" s="1252" t="s">
        <v>14</v>
      </c>
      <c r="O75" s="1243" t="s">
        <v>2342</v>
      </c>
    </row>
    <row r="76" spans="1:15" ht="63.75">
      <c r="A76" s="1235"/>
      <c r="B76" s="1834"/>
      <c r="C76" s="1237" t="s">
        <v>2457</v>
      </c>
      <c r="D76" s="1251" t="s">
        <v>2450</v>
      </c>
      <c r="E76" s="1233"/>
      <c r="F76" s="1251" t="s">
        <v>2458</v>
      </c>
      <c r="G76" s="1250"/>
      <c r="H76" s="1076"/>
      <c r="I76" s="1233"/>
      <c r="J76" s="49" t="s">
        <v>677</v>
      </c>
      <c r="K76" s="49" t="s">
        <v>677</v>
      </c>
      <c r="L76" s="49"/>
      <c r="M76" s="1250"/>
      <c r="N76" s="1233"/>
      <c r="O76" s="1233"/>
    </row>
    <row r="77" spans="1:15" ht="51">
      <c r="A77" s="1235"/>
      <c r="B77" s="1834"/>
      <c r="C77" s="1237" t="s">
        <v>2457</v>
      </c>
      <c r="D77" s="1251" t="s">
        <v>496</v>
      </c>
      <c r="E77" s="1233"/>
      <c r="F77" s="1251" t="s">
        <v>2460</v>
      </c>
      <c r="G77" s="1250"/>
      <c r="H77" s="1076"/>
      <c r="I77" s="1233"/>
      <c r="J77" s="49" t="s">
        <v>677</v>
      </c>
      <c r="K77" s="49" t="s">
        <v>677</v>
      </c>
      <c r="L77" s="49" t="s">
        <v>79</v>
      </c>
      <c r="M77" s="1250">
        <v>11102863</v>
      </c>
      <c r="N77" s="1244" t="s">
        <v>14</v>
      </c>
      <c r="O77" s="1243" t="s">
        <v>2461</v>
      </c>
    </row>
    <row r="78" spans="1:15" ht="63.75">
      <c r="A78" s="1235">
        <v>113608003000006</v>
      </c>
      <c r="B78" s="1834" t="s">
        <v>180</v>
      </c>
      <c r="C78" s="1249" t="s">
        <v>180</v>
      </c>
      <c r="D78" s="1249"/>
      <c r="E78" s="1249"/>
      <c r="F78" s="1229" t="s">
        <v>2462</v>
      </c>
      <c r="G78" s="1231">
        <f>SUM(G79:G95)</f>
        <v>540061600</v>
      </c>
      <c r="H78" s="1076"/>
      <c r="I78" s="1233"/>
      <c r="J78" s="49" t="s">
        <v>677</v>
      </c>
      <c r="K78" s="49" t="s">
        <v>677</v>
      </c>
      <c r="L78" s="49"/>
      <c r="M78" s="1231">
        <f>SUM(M79:M95)</f>
        <v>582149116</v>
      </c>
      <c r="N78" s="1233"/>
      <c r="O78" s="1233"/>
    </row>
    <row r="79" spans="1:15" ht="63.75">
      <c r="A79" s="1235"/>
      <c r="B79" s="1834"/>
      <c r="C79" s="1237" t="s">
        <v>2463</v>
      </c>
      <c r="D79" s="1828" t="s">
        <v>2407</v>
      </c>
      <c r="E79" s="1233"/>
      <c r="F79" s="1251" t="s">
        <v>2464</v>
      </c>
      <c r="G79" s="1250"/>
      <c r="H79" s="1076"/>
      <c r="I79" s="1233"/>
      <c r="J79" s="49" t="s">
        <v>677</v>
      </c>
      <c r="K79" s="49" t="s">
        <v>677</v>
      </c>
      <c r="L79" s="49"/>
      <c r="M79" s="1250"/>
      <c r="N79" s="1233"/>
      <c r="O79" s="1234" t="s">
        <v>2328</v>
      </c>
    </row>
    <row r="80" spans="1:15" ht="25.5">
      <c r="A80" s="1235"/>
      <c r="B80" s="1834"/>
      <c r="C80" s="1237" t="s">
        <v>2465</v>
      </c>
      <c r="D80" s="1828"/>
      <c r="E80" s="1233"/>
      <c r="F80" s="1251" t="s">
        <v>2466</v>
      </c>
      <c r="G80" s="1250">
        <v>50000000</v>
      </c>
      <c r="H80" s="1076"/>
      <c r="I80" s="1233"/>
      <c r="J80" s="49" t="s">
        <v>677</v>
      </c>
      <c r="K80" s="49" t="s">
        <v>677</v>
      </c>
      <c r="L80" s="49"/>
      <c r="M80" s="1250">
        <v>50000000</v>
      </c>
      <c r="N80" s="1233"/>
      <c r="O80" s="1234" t="s">
        <v>2328</v>
      </c>
    </row>
    <row r="81" spans="1:15" ht="38.25">
      <c r="A81" s="1235"/>
      <c r="B81" s="1834"/>
      <c r="C81" s="1237" t="s">
        <v>2467</v>
      </c>
      <c r="D81" s="1828" t="s">
        <v>2383</v>
      </c>
      <c r="E81" s="1233"/>
      <c r="F81" s="1828" t="s">
        <v>2468</v>
      </c>
      <c r="G81" s="1250">
        <v>20000000</v>
      </c>
      <c r="H81" s="1076"/>
      <c r="I81" s="1233"/>
      <c r="J81" s="49" t="s">
        <v>677</v>
      </c>
      <c r="K81" s="49" t="s">
        <v>677</v>
      </c>
      <c r="L81" s="49"/>
      <c r="M81" s="1250">
        <v>20000000</v>
      </c>
      <c r="N81" s="1233"/>
      <c r="O81" s="1234" t="s">
        <v>2328</v>
      </c>
    </row>
    <row r="82" spans="1:15" ht="51">
      <c r="A82" s="1235"/>
      <c r="B82" s="1834"/>
      <c r="C82" s="1237" t="s">
        <v>2469</v>
      </c>
      <c r="D82" s="1828"/>
      <c r="E82" s="1233"/>
      <c r="F82" s="1828"/>
      <c r="G82" s="1250">
        <v>60261600</v>
      </c>
      <c r="H82" s="1076"/>
      <c r="I82" s="1233"/>
      <c r="J82" s="49" t="s">
        <v>677</v>
      </c>
      <c r="K82" s="49" t="s">
        <v>677</v>
      </c>
      <c r="L82" s="49" t="s">
        <v>70</v>
      </c>
      <c r="M82" s="1250">
        <v>47532642</v>
      </c>
      <c r="N82" s="1233" t="s">
        <v>14</v>
      </c>
      <c r="O82" s="1243" t="s">
        <v>2342</v>
      </c>
    </row>
    <row r="83" spans="1:15" ht="15.75">
      <c r="A83" s="1235"/>
      <c r="B83" s="1834"/>
      <c r="C83" s="1237" t="s">
        <v>2470</v>
      </c>
      <c r="D83" s="1828"/>
      <c r="E83" s="1233"/>
      <c r="F83" s="1828"/>
      <c r="G83" s="1250"/>
      <c r="H83" s="1076"/>
      <c r="I83" s="1233"/>
      <c r="J83" s="49" t="s">
        <v>677</v>
      </c>
      <c r="K83" s="49" t="s">
        <v>677</v>
      </c>
      <c r="L83" s="49"/>
      <c r="M83" s="1250"/>
      <c r="N83" s="1233"/>
      <c r="O83" s="1234" t="s">
        <v>2328</v>
      </c>
    </row>
    <row r="84" spans="1:15" ht="25.5">
      <c r="A84" s="1235"/>
      <c r="B84" s="1834"/>
      <c r="C84" s="1237" t="s">
        <v>2471</v>
      </c>
      <c r="D84" s="1828"/>
      <c r="E84" s="1233"/>
      <c r="F84" s="1828"/>
      <c r="G84" s="1250">
        <v>20000000</v>
      </c>
      <c r="H84" s="1076"/>
      <c r="I84" s="1233"/>
      <c r="J84" s="49" t="s">
        <v>677</v>
      </c>
      <c r="K84" s="49" t="s">
        <v>677</v>
      </c>
      <c r="L84" s="49"/>
      <c r="M84" s="1250">
        <v>20000000</v>
      </c>
      <c r="N84" s="1233"/>
      <c r="O84" s="1234" t="s">
        <v>2328</v>
      </c>
    </row>
    <row r="85" spans="1:15" ht="51">
      <c r="A85" s="1235"/>
      <c r="B85" s="1834"/>
      <c r="C85" s="1237" t="s">
        <v>2470</v>
      </c>
      <c r="D85" s="1251" t="s">
        <v>685</v>
      </c>
      <c r="E85" s="1233"/>
      <c r="F85" s="1251" t="s">
        <v>2472</v>
      </c>
      <c r="G85" s="1250"/>
      <c r="H85" s="1076"/>
      <c r="I85" s="1233"/>
      <c r="J85" s="49" t="s">
        <v>677</v>
      </c>
      <c r="K85" s="49" t="s">
        <v>677</v>
      </c>
      <c r="L85" s="49"/>
      <c r="M85" s="1250"/>
      <c r="N85" s="1233"/>
      <c r="O85" s="1234" t="s">
        <v>2328</v>
      </c>
    </row>
    <row r="86" spans="1:15" ht="51">
      <c r="A86" s="1235"/>
      <c r="B86" s="1834"/>
      <c r="C86" s="1237" t="s">
        <v>2470</v>
      </c>
      <c r="D86" s="1251" t="s">
        <v>496</v>
      </c>
      <c r="E86" s="1233"/>
      <c r="F86" s="1251" t="s">
        <v>2473</v>
      </c>
      <c r="G86" s="1250"/>
      <c r="H86" s="1076"/>
      <c r="I86" s="1233"/>
      <c r="J86" s="49" t="s">
        <v>677</v>
      </c>
      <c r="K86" s="49" t="s">
        <v>677</v>
      </c>
      <c r="L86" s="49" t="s">
        <v>79</v>
      </c>
      <c r="M86" s="1250">
        <v>70285248</v>
      </c>
      <c r="N86" s="1233"/>
      <c r="O86" s="1252" t="s">
        <v>2461</v>
      </c>
    </row>
    <row r="87" spans="1:15" ht="63.75">
      <c r="A87" s="1235"/>
      <c r="B87" s="1834"/>
      <c r="C87" s="1237" t="s">
        <v>2470</v>
      </c>
      <c r="D87" s="1251" t="s">
        <v>2450</v>
      </c>
      <c r="E87" s="1233"/>
      <c r="F87" s="1251" t="s">
        <v>2474</v>
      </c>
      <c r="G87" s="1250">
        <v>40000000</v>
      </c>
      <c r="H87" s="1076"/>
      <c r="I87" s="1233"/>
      <c r="J87" s="49" t="s">
        <v>677</v>
      </c>
      <c r="K87" s="49" t="s">
        <v>677</v>
      </c>
      <c r="L87" s="49"/>
      <c r="M87" s="1250">
        <v>40000000</v>
      </c>
      <c r="N87" s="1233"/>
      <c r="O87" s="1234" t="s">
        <v>2328</v>
      </c>
    </row>
    <row r="88" spans="1:15" ht="51">
      <c r="A88" s="1235"/>
      <c r="B88" s="1834"/>
      <c r="C88" s="1246" t="s">
        <v>2475</v>
      </c>
      <c r="D88" s="1251" t="s">
        <v>2376</v>
      </c>
      <c r="E88" s="1233"/>
      <c r="F88" s="1251" t="s">
        <v>2476</v>
      </c>
      <c r="G88" s="1250">
        <v>35000000</v>
      </c>
      <c r="H88" s="1076"/>
      <c r="I88" s="1233"/>
      <c r="J88" s="49" t="s">
        <v>677</v>
      </c>
      <c r="K88" s="49" t="s">
        <v>677</v>
      </c>
      <c r="L88" s="49"/>
      <c r="M88" s="1250">
        <v>35000000</v>
      </c>
      <c r="N88" s="1233"/>
      <c r="O88" s="1234" t="s">
        <v>2328</v>
      </c>
    </row>
    <row r="89" spans="1:15" ht="63.75">
      <c r="A89" s="1235"/>
      <c r="B89" s="1834"/>
      <c r="C89" s="1246" t="s">
        <v>2477</v>
      </c>
      <c r="D89" s="1251" t="s">
        <v>2418</v>
      </c>
      <c r="E89" s="1233"/>
      <c r="F89" s="1251" t="s">
        <v>2478</v>
      </c>
      <c r="G89" s="1250">
        <v>45000000</v>
      </c>
      <c r="H89" s="1076" t="s">
        <v>91</v>
      </c>
      <c r="I89" s="1233"/>
      <c r="J89" s="49" t="s">
        <v>677</v>
      </c>
      <c r="K89" s="49" t="s">
        <v>677</v>
      </c>
      <c r="L89" s="1076" t="s">
        <v>90</v>
      </c>
      <c r="M89" s="1250">
        <v>29531226</v>
      </c>
      <c r="N89" s="49" t="s">
        <v>14</v>
      </c>
      <c r="O89" s="1243" t="s">
        <v>2342</v>
      </c>
    </row>
    <row r="90" spans="1:15" ht="51">
      <c r="A90" s="1235"/>
      <c r="B90" s="1834"/>
      <c r="C90" s="1246" t="s">
        <v>2475</v>
      </c>
      <c r="D90" s="1251" t="s">
        <v>2390</v>
      </c>
      <c r="E90" s="1233"/>
      <c r="F90" s="1251" t="s">
        <v>2479</v>
      </c>
      <c r="G90" s="1250">
        <v>12500000</v>
      </c>
      <c r="H90" s="1076"/>
      <c r="I90" s="1233"/>
      <c r="J90" s="49" t="s">
        <v>677</v>
      </c>
      <c r="K90" s="49" t="s">
        <v>677</v>
      </c>
      <c r="L90" s="49"/>
      <c r="M90" s="1250">
        <v>12500000</v>
      </c>
      <c r="N90" s="1233"/>
      <c r="O90" s="1234" t="s">
        <v>2328</v>
      </c>
    </row>
    <row r="91" spans="1:15" ht="102">
      <c r="A91" s="1235"/>
      <c r="B91" s="1834"/>
      <c r="C91" s="1246" t="s">
        <v>2480</v>
      </c>
      <c r="D91" s="1251" t="s">
        <v>2403</v>
      </c>
      <c r="E91" s="1233"/>
      <c r="F91" s="1251" t="s">
        <v>2481</v>
      </c>
      <c r="G91" s="1250">
        <v>107300000</v>
      </c>
      <c r="H91" s="1076"/>
      <c r="I91" s="1233"/>
      <c r="J91" s="49" t="s">
        <v>677</v>
      </c>
      <c r="K91" s="49" t="s">
        <v>677</v>
      </c>
      <c r="L91" s="49"/>
      <c r="M91" s="1250">
        <v>107300000</v>
      </c>
      <c r="N91" s="1233"/>
      <c r="O91" s="1234" t="s">
        <v>2328</v>
      </c>
    </row>
    <row r="92" spans="1:15" ht="51">
      <c r="A92" s="1235"/>
      <c r="B92" s="1834"/>
      <c r="C92" s="1237" t="s">
        <v>2482</v>
      </c>
      <c r="D92" s="1828" t="s">
        <v>389</v>
      </c>
      <c r="E92" s="1233"/>
      <c r="F92" s="1251" t="s">
        <v>2483</v>
      </c>
      <c r="G92" s="1250">
        <v>40000000</v>
      </c>
      <c r="H92" s="1076"/>
      <c r="I92" s="1233"/>
      <c r="J92" s="49" t="s">
        <v>677</v>
      </c>
      <c r="K92" s="49" t="s">
        <v>677</v>
      </c>
      <c r="L92" s="49"/>
      <c r="M92" s="1250">
        <v>40000000</v>
      </c>
      <c r="N92" s="1233"/>
      <c r="O92" s="1234" t="s">
        <v>2328</v>
      </c>
    </row>
    <row r="93" spans="1:15" ht="76.5">
      <c r="A93" s="1235"/>
      <c r="B93" s="1834"/>
      <c r="C93" s="1237" t="s">
        <v>2484</v>
      </c>
      <c r="D93" s="1828"/>
      <c r="E93" s="1233"/>
      <c r="F93" s="1251" t="s">
        <v>2485</v>
      </c>
      <c r="G93" s="1250">
        <v>45000000</v>
      </c>
      <c r="H93" s="1076"/>
      <c r="I93" s="1233"/>
      <c r="J93" s="49" t="s">
        <v>677</v>
      </c>
      <c r="K93" s="49" t="s">
        <v>677</v>
      </c>
      <c r="L93" s="49"/>
      <c r="M93" s="1250">
        <v>45000000</v>
      </c>
      <c r="N93" s="1233"/>
      <c r="O93" s="1234" t="s">
        <v>2328</v>
      </c>
    </row>
    <row r="94" spans="1:15" ht="63.75">
      <c r="A94" s="1235"/>
      <c r="B94" s="1834"/>
      <c r="C94" s="1237" t="s">
        <v>2486</v>
      </c>
      <c r="D94" s="1828"/>
      <c r="E94" s="1233"/>
      <c r="F94" s="1251" t="s">
        <v>2487</v>
      </c>
      <c r="G94" s="1250">
        <v>40000000</v>
      </c>
      <c r="H94" s="1076"/>
      <c r="I94" s="1233"/>
      <c r="J94" s="49" t="s">
        <v>677</v>
      </c>
      <c r="K94" s="49" t="s">
        <v>677</v>
      </c>
      <c r="L94" s="49"/>
      <c r="M94" s="1250">
        <v>40000000</v>
      </c>
      <c r="N94" s="1233"/>
      <c r="O94" s="1234" t="s">
        <v>2328</v>
      </c>
    </row>
    <row r="95" spans="1:15" ht="63.75">
      <c r="A95" s="1235"/>
      <c r="B95" s="1834"/>
      <c r="C95" s="1237" t="s">
        <v>2488</v>
      </c>
      <c r="D95" s="1828"/>
      <c r="E95" s="1233"/>
      <c r="F95" s="1251" t="s">
        <v>2489</v>
      </c>
      <c r="G95" s="1250">
        <v>25000000</v>
      </c>
      <c r="H95" s="1076"/>
      <c r="I95" s="1233"/>
      <c r="J95" s="49" t="s">
        <v>677</v>
      </c>
      <c r="K95" s="49" t="s">
        <v>677</v>
      </c>
      <c r="L95" s="49"/>
      <c r="M95" s="1250">
        <v>25000000</v>
      </c>
      <c r="N95" s="1233"/>
      <c r="O95" s="1234" t="s">
        <v>2328</v>
      </c>
    </row>
    <row r="96" spans="1:15" ht="76.5">
      <c r="A96" s="1235">
        <v>113608003000007</v>
      </c>
      <c r="B96" s="1834" t="s">
        <v>221</v>
      </c>
      <c r="C96" s="1249" t="s">
        <v>221</v>
      </c>
      <c r="D96" s="1249"/>
      <c r="E96" s="1249"/>
      <c r="F96" s="1229" t="s">
        <v>2490</v>
      </c>
      <c r="G96" s="1231">
        <f>SUM(G97:G106)</f>
        <v>312133000</v>
      </c>
      <c r="H96" s="1076"/>
      <c r="I96" s="1233"/>
      <c r="J96" s="49" t="s">
        <v>677</v>
      </c>
      <c r="K96" s="49" t="s">
        <v>677</v>
      </c>
      <c r="L96" s="49"/>
      <c r="M96" s="1231">
        <f>SUM(M97:M106)</f>
        <v>371509457</v>
      </c>
      <c r="N96" s="1233"/>
      <c r="O96" s="1233"/>
    </row>
    <row r="97" spans="1:15" ht="51">
      <c r="A97" s="1235"/>
      <c r="B97" s="1834"/>
      <c r="C97" s="1237" t="s">
        <v>2491</v>
      </c>
      <c r="D97" s="1251" t="s">
        <v>2436</v>
      </c>
      <c r="E97" s="1233"/>
      <c r="F97" s="1251" t="s">
        <v>2492</v>
      </c>
      <c r="G97" s="1250"/>
      <c r="H97" s="1076"/>
      <c r="I97" s="1233"/>
      <c r="J97" s="49" t="s">
        <v>677</v>
      </c>
      <c r="K97" s="49" t="s">
        <v>677</v>
      </c>
      <c r="L97" s="49" t="s">
        <v>70</v>
      </c>
      <c r="M97" s="1250">
        <v>38365703</v>
      </c>
      <c r="N97" s="1244" t="s">
        <v>14</v>
      </c>
      <c r="O97" s="1243" t="s">
        <v>2342</v>
      </c>
    </row>
    <row r="98" spans="1:15" ht="89.25">
      <c r="A98" s="1235"/>
      <c r="B98" s="1834"/>
      <c r="C98" s="1237" t="s">
        <v>2493</v>
      </c>
      <c r="D98" s="1251" t="s">
        <v>740</v>
      </c>
      <c r="E98" s="1233"/>
      <c r="F98" s="1251" t="s">
        <v>2494</v>
      </c>
      <c r="G98" s="1250">
        <v>46133000</v>
      </c>
      <c r="H98" s="1076"/>
      <c r="I98" s="1233"/>
      <c r="J98" s="49" t="s">
        <v>677</v>
      </c>
      <c r="K98" s="49" t="s">
        <v>677</v>
      </c>
      <c r="L98" s="49" t="s">
        <v>79</v>
      </c>
      <c r="M98" s="1250">
        <v>47969995</v>
      </c>
      <c r="N98" s="1244" t="s">
        <v>14</v>
      </c>
      <c r="O98" s="1243" t="s">
        <v>2342</v>
      </c>
    </row>
    <row r="99" spans="1:15" ht="89.25">
      <c r="A99" s="1235"/>
      <c r="B99" s="1834"/>
      <c r="C99" s="1237" t="s">
        <v>2495</v>
      </c>
      <c r="D99" s="1828" t="s">
        <v>2496</v>
      </c>
      <c r="E99" s="1233"/>
      <c r="F99" s="1251" t="s">
        <v>2497</v>
      </c>
      <c r="G99" s="1250"/>
      <c r="H99" s="1076"/>
      <c r="I99" s="1251"/>
      <c r="J99" s="49" t="s">
        <v>677</v>
      </c>
      <c r="K99" s="49" t="s">
        <v>677</v>
      </c>
      <c r="L99" s="49" t="s">
        <v>79</v>
      </c>
      <c r="M99" s="1250">
        <v>19173759</v>
      </c>
      <c r="N99" s="1233" t="s">
        <v>14</v>
      </c>
      <c r="O99" s="1252" t="s">
        <v>2461</v>
      </c>
    </row>
    <row r="100" spans="1:15" ht="76.5">
      <c r="A100" s="1235"/>
      <c r="B100" s="1834"/>
      <c r="C100" s="1237" t="s">
        <v>2498</v>
      </c>
      <c r="D100" s="1828"/>
      <c r="E100" s="1233"/>
      <c r="F100" s="1251" t="s">
        <v>2499</v>
      </c>
      <c r="G100" s="1239">
        <v>15000000</v>
      </c>
      <c r="H100" s="1076"/>
      <c r="I100" s="1233"/>
      <c r="J100" s="49" t="s">
        <v>677</v>
      </c>
      <c r="K100" s="49" t="s">
        <v>677</v>
      </c>
      <c r="L100" s="49"/>
      <c r="M100" s="1239">
        <v>15000000</v>
      </c>
      <c r="N100" s="1233"/>
      <c r="O100" s="1234" t="s">
        <v>2328</v>
      </c>
    </row>
    <row r="101" spans="1:15" ht="89.25">
      <c r="A101" s="1235"/>
      <c r="B101" s="1834"/>
      <c r="C101" s="1237" t="s">
        <v>2495</v>
      </c>
      <c r="D101" s="1251" t="s">
        <v>2496</v>
      </c>
      <c r="E101" s="1233"/>
      <c r="F101" s="1251" t="s">
        <v>2497</v>
      </c>
      <c r="G101" s="1239"/>
      <c r="H101" s="1076"/>
      <c r="I101" s="1233"/>
      <c r="J101" s="49" t="s">
        <v>677</v>
      </c>
      <c r="K101" s="49" t="s">
        <v>677</v>
      </c>
      <c r="L101" s="49"/>
      <c r="M101" s="1239"/>
      <c r="N101" s="1233"/>
      <c r="O101" s="1234" t="s">
        <v>2328</v>
      </c>
    </row>
    <row r="102" spans="1:15" ht="89.25">
      <c r="A102" s="1235"/>
      <c r="B102" s="1834"/>
      <c r="C102" s="1237" t="s">
        <v>2500</v>
      </c>
      <c r="D102" s="1828" t="s">
        <v>389</v>
      </c>
      <c r="E102" s="1233"/>
      <c r="F102" s="1251" t="s">
        <v>2501</v>
      </c>
      <c r="G102" s="1833">
        <v>41000000</v>
      </c>
      <c r="H102" s="1076"/>
      <c r="I102" s="1233"/>
      <c r="J102" s="49" t="s">
        <v>677</v>
      </c>
      <c r="K102" s="49" t="s">
        <v>677</v>
      </c>
      <c r="L102" s="49"/>
      <c r="M102" s="1833">
        <v>41000000</v>
      </c>
      <c r="N102" s="1233"/>
      <c r="O102" s="1234" t="s">
        <v>2328</v>
      </c>
    </row>
    <row r="103" spans="1:15" ht="51">
      <c r="A103" s="1235"/>
      <c r="B103" s="1834"/>
      <c r="C103" s="1237" t="s">
        <v>2502</v>
      </c>
      <c r="D103" s="1828"/>
      <c r="E103" s="1233"/>
      <c r="F103" s="1251" t="s">
        <v>2503</v>
      </c>
      <c r="G103" s="1833"/>
      <c r="H103" s="1076"/>
      <c r="I103" s="1233"/>
      <c r="J103" s="49" t="s">
        <v>677</v>
      </c>
      <c r="K103" s="49" t="s">
        <v>677</v>
      </c>
      <c r="L103" s="49"/>
      <c r="M103" s="1833"/>
      <c r="N103" s="1233"/>
      <c r="O103" s="1234" t="s">
        <v>2328</v>
      </c>
    </row>
    <row r="104" spans="1:15" ht="76.5">
      <c r="A104" s="1235"/>
      <c r="B104" s="1834"/>
      <c r="C104" s="1246" t="s">
        <v>2504</v>
      </c>
      <c r="D104" s="1251" t="s">
        <v>2403</v>
      </c>
      <c r="E104" s="1233"/>
      <c r="F104" s="1251" t="s">
        <v>2505</v>
      </c>
      <c r="G104" s="1250">
        <v>10000000</v>
      </c>
      <c r="H104" s="1076"/>
      <c r="I104" s="1233"/>
      <c r="J104" s="49" t="s">
        <v>677</v>
      </c>
      <c r="K104" s="49" t="s">
        <v>677</v>
      </c>
      <c r="L104" s="49"/>
      <c r="M104" s="1250">
        <v>10000000</v>
      </c>
      <c r="N104" s="1233"/>
      <c r="O104" s="1234" t="s">
        <v>2328</v>
      </c>
    </row>
    <row r="105" spans="1:15" ht="114.75">
      <c r="A105" s="1235"/>
      <c r="B105" s="1834"/>
      <c r="C105" s="1246" t="s">
        <v>2506</v>
      </c>
      <c r="D105" s="1251" t="s">
        <v>424</v>
      </c>
      <c r="E105" s="1233"/>
      <c r="F105" s="1251" t="s">
        <v>2507</v>
      </c>
      <c r="G105" s="1250">
        <v>100000000</v>
      </c>
      <c r="H105" s="1076"/>
      <c r="I105" s="1233"/>
      <c r="J105" s="49" t="s">
        <v>677</v>
      </c>
      <c r="K105" s="49" t="s">
        <v>677</v>
      </c>
      <c r="L105" s="49"/>
      <c r="M105" s="1250">
        <v>100000000</v>
      </c>
      <c r="N105" s="1233"/>
      <c r="O105" s="1234" t="s">
        <v>2328</v>
      </c>
    </row>
    <row r="106" spans="1:15" ht="102">
      <c r="A106" s="1235"/>
      <c r="B106" s="1834"/>
      <c r="C106" s="1246" t="s">
        <v>2493</v>
      </c>
      <c r="D106" s="1251" t="s">
        <v>2407</v>
      </c>
      <c r="E106" s="1233"/>
      <c r="F106" s="1251" t="s">
        <v>2508</v>
      </c>
      <c r="G106" s="1250">
        <v>100000000</v>
      </c>
      <c r="H106" s="1076"/>
      <c r="I106" s="1233"/>
      <c r="J106" s="49" t="s">
        <v>677</v>
      </c>
      <c r="K106" s="49" t="s">
        <v>677</v>
      </c>
      <c r="L106" s="49"/>
      <c r="M106" s="1250">
        <v>100000000</v>
      </c>
      <c r="N106" s="1233"/>
      <c r="O106" s="1234" t="s">
        <v>2328</v>
      </c>
    </row>
    <row r="107" spans="1:15" ht="89.25">
      <c r="A107" s="1235">
        <v>113608003000018</v>
      </c>
      <c r="B107" s="1834" t="s">
        <v>176</v>
      </c>
      <c r="C107" s="1249" t="s">
        <v>176</v>
      </c>
      <c r="D107" s="1249"/>
      <c r="E107" s="1249"/>
      <c r="F107" s="1229" t="s">
        <v>588</v>
      </c>
      <c r="G107" s="1231">
        <f>SUM(G108:G139)</f>
        <v>1142000000</v>
      </c>
      <c r="H107" s="1076"/>
      <c r="I107" s="1233"/>
      <c r="J107" s="49" t="s">
        <v>677</v>
      </c>
      <c r="K107" s="49" t="s">
        <v>677</v>
      </c>
      <c r="L107" s="49"/>
      <c r="M107" s="1231">
        <f>SUM(M108:M139)</f>
        <v>1198185068</v>
      </c>
      <c r="N107" s="1233"/>
      <c r="O107" s="1233"/>
    </row>
    <row r="108" spans="1:15" ht="76.5">
      <c r="A108" s="1235"/>
      <c r="B108" s="1834"/>
      <c r="C108" s="1237" t="s">
        <v>2509</v>
      </c>
      <c r="D108" s="1828" t="s">
        <v>424</v>
      </c>
      <c r="E108" s="1233"/>
      <c r="F108" s="1251" t="s">
        <v>2510</v>
      </c>
      <c r="G108" s="1250">
        <v>60000000</v>
      </c>
      <c r="H108" s="1076"/>
      <c r="I108" s="1233"/>
      <c r="J108" s="49" t="s">
        <v>677</v>
      </c>
      <c r="K108" s="49" t="s">
        <v>677</v>
      </c>
      <c r="L108" s="49"/>
      <c r="M108" s="1250">
        <v>60000000</v>
      </c>
      <c r="N108" s="1233"/>
      <c r="O108" s="1234" t="s">
        <v>2328</v>
      </c>
    </row>
    <row r="109" spans="1:15" ht="102">
      <c r="A109" s="1235"/>
      <c r="B109" s="1834"/>
      <c r="C109" s="1237" t="s">
        <v>2511</v>
      </c>
      <c r="D109" s="1828"/>
      <c r="E109" s="1233"/>
      <c r="F109" s="1251" t="s">
        <v>2512</v>
      </c>
      <c r="G109" s="1250">
        <v>18000000</v>
      </c>
      <c r="H109" s="1076"/>
      <c r="I109" s="1233"/>
      <c r="J109" s="49" t="s">
        <v>677</v>
      </c>
      <c r="K109" s="49" t="s">
        <v>677</v>
      </c>
      <c r="L109" s="49"/>
      <c r="M109" s="1250">
        <v>18000000</v>
      </c>
      <c r="N109" s="1233"/>
      <c r="O109" s="1234" t="s">
        <v>2328</v>
      </c>
    </row>
    <row r="110" spans="1:15" ht="127.5">
      <c r="A110" s="1235"/>
      <c r="B110" s="1834"/>
      <c r="C110" s="1237" t="s">
        <v>2513</v>
      </c>
      <c r="D110" s="1828" t="s">
        <v>740</v>
      </c>
      <c r="E110" s="1253"/>
      <c r="F110" s="1251" t="s">
        <v>2514</v>
      </c>
      <c r="G110" s="1254">
        <v>68000000</v>
      </c>
      <c r="H110" s="1265" t="s">
        <v>91</v>
      </c>
      <c r="I110" s="1253"/>
      <c r="J110" s="326" t="s">
        <v>677</v>
      </c>
      <c r="K110" s="326" t="s">
        <v>677</v>
      </c>
      <c r="L110" s="1265" t="s">
        <v>91</v>
      </c>
      <c r="M110" s="1254">
        <v>68000000</v>
      </c>
      <c r="N110" s="326" t="s">
        <v>14</v>
      </c>
      <c r="O110" s="1251" t="s">
        <v>2515</v>
      </c>
    </row>
    <row r="111" spans="1:15" ht="51">
      <c r="A111" s="1235"/>
      <c r="B111" s="1834"/>
      <c r="C111" s="1237" t="s">
        <v>2516</v>
      </c>
      <c r="D111" s="1828"/>
      <c r="E111" s="1253"/>
      <c r="F111" s="1251" t="s">
        <v>2517</v>
      </c>
      <c r="G111" s="1254">
        <v>125000000</v>
      </c>
      <c r="H111" s="1265"/>
      <c r="I111" s="1253"/>
      <c r="J111" s="326" t="s">
        <v>677</v>
      </c>
      <c r="K111" s="326" t="s">
        <v>677</v>
      </c>
      <c r="L111" s="1265"/>
      <c r="M111" s="1254">
        <v>125000000</v>
      </c>
      <c r="N111" s="1253"/>
      <c r="O111" s="1266" t="s">
        <v>2518</v>
      </c>
    </row>
    <row r="112" spans="1:15" ht="63.75">
      <c r="A112" s="1235"/>
      <c r="B112" s="1834"/>
      <c r="C112" s="1237" t="s">
        <v>2519</v>
      </c>
      <c r="D112" s="1251" t="s">
        <v>2520</v>
      </c>
      <c r="E112" s="1233"/>
      <c r="F112" s="1251" t="s">
        <v>2521</v>
      </c>
      <c r="G112" s="1250"/>
      <c r="H112" s="177"/>
      <c r="I112" s="1233"/>
      <c r="J112" s="49" t="s">
        <v>677</v>
      </c>
      <c r="K112" s="49" t="s">
        <v>677</v>
      </c>
      <c r="L112" s="177"/>
      <c r="M112" s="1250"/>
      <c r="N112" s="1233"/>
      <c r="O112" s="1234" t="s">
        <v>2328</v>
      </c>
    </row>
    <row r="113" spans="1:15" ht="89.25">
      <c r="A113" s="1235"/>
      <c r="B113" s="1834"/>
      <c r="C113" s="1237" t="s">
        <v>2522</v>
      </c>
      <c r="D113" s="1251" t="s">
        <v>740</v>
      </c>
      <c r="E113" s="1253"/>
      <c r="F113" s="1251" t="s">
        <v>2523</v>
      </c>
      <c r="G113" s="1254"/>
      <c r="H113" s="1265" t="s">
        <v>91</v>
      </c>
      <c r="I113" s="1253"/>
      <c r="J113" s="326" t="s">
        <v>677</v>
      </c>
      <c r="K113" s="326" t="s">
        <v>677</v>
      </c>
      <c r="L113" s="1265" t="s">
        <v>91</v>
      </c>
      <c r="M113" s="1254"/>
      <c r="N113" s="326" t="s">
        <v>14</v>
      </c>
      <c r="O113" s="1251" t="s">
        <v>2515</v>
      </c>
    </row>
    <row r="114" spans="1:15" ht="63.75">
      <c r="A114" s="1235"/>
      <c r="B114" s="1834"/>
      <c r="C114" s="1237" t="s">
        <v>2519</v>
      </c>
      <c r="D114" s="1251" t="s">
        <v>2357</v>
      </c>
      <c r="E114" s="1233"/>
      <c r="F114" s="1251" t="s">
        <v>2524</v>
      </c>
      <c r="G114" s="1250"/>
      <c r="H114" s="177" t="s">
        <v>91</v>
      </c>
      <c r="I114" s="1233"/>
      <c r="J114" s="49" t="s">
        <v>677</v>
      </c>
      <c r="K114" s="49" t="s">
        <v>677</v>
      </c>
      <c r="L114" s="177" t="s">
        <v>70</v>
      </c>
      <c r="M114" s="1250">
        <v>22775169</v>
      </c>
      <c r="N114" s="49" t="s">
        <v>14</v>
      </c>
      <c r="O114" s="1243" t="s">
        <v>2342</v>
      </c>
    </row>
    <row r="115" spans="1:15" ht="76.5">
      <c r="A115" s="1235"/>
      <c r="B115" s="1834"/>
      <c r="C115" s="1267" t="s">
        <v>2525</v>
      </c>
      <c r="D115" s="1828" t="s">
        <v>2383</v>
      </c>
      <c r="E115" s="1253"/>
      <c r="F115" s="1251" t="s">
        <v>2526</v>
      </c>
      <c r="G115" s="1254"/>
      <c r="H115" s="1268"/>
      <c r="I115" s="1253"/>
      <c r="J115" s="326" t="s">
        <v>677</v>
      </c>
      <c r="K115" s="326" t="s">
        <v>677</v>
      </c>
      <c r="L115" s="1268"/>
      <c r="M115" s="1254"/>
      <c r="N115" s="1253"/>
      <c r="O115" s="1234" t="s">
        <v>2328</v>
      </c>
    </row>
    <row r="116" spans="1:15" ht="51">
      <c r="A116" s="1235"/>
      <c r="B116" s="1834"/>
      <c r="C116" s="1267" t="s">
        <v>2469</v>
      </c>
      <c r="D116" s="1828"/>
      <c r="E116" s="1253"/>
      <c r="F116" s="1251" t="s">
        <v>2527</v>
      </c>
      <c r="G116" s="1254"/>
      <c r="H116" s="1265" t="s">
        <v>91</v>
      </c>
      <c r="I116" s="1253"/>
      <c r="J116" s="326" t="s">
        <v>677</v>
      </c>
      <c r="K116" s="326" t="s">
        <v>677</v>
      </c>
      <c r="L116" s="1265" t="s">
        <v>91</v>
      </c>
      <c r="M116" s="1254"/>
      <c r="N116" s="326" t="s">
        <v>14</v>
      </c>
      <c r="O116" s="1251" t="s">
        <v>2515</v>
      </c>
    </row>
    <row r="117" spans="1:15" ht="25.5">
      <c r="A117" s="1235"/>
      <c r="B117" s="1834"/>
      <c r="C117" s="1267" t="s">
        <v>2528</v>
      </c>
      <c r="D117" s="1828"/>
      <c r="E117" s="1253"/>
      <c r="F117" s="1251" t="s">
        <v>2529</v>
      </c>
      <c r="G117" s="1254"/>
      <c r="H117" s="1268"/>
      <c r="I117" s="1253"/>
      <c r="J117" s="326" t="s">
        <v>677</v>
      </c>
      <c r="K117" s="326" t="s">
        <v>677</v>
      </c>
      <c r="L117" s="1268"/>
      <c r="M117" s="1254"/>
      <c r="N117" s="1253"/>
      <c r="O117" s="1234" t="s">
        <v>2328</v>
      </c>
    </row>
    <row r="118" spans="1:15" ht="63.75">
      <c r="A118" s="1235"/>
      <c r="B118" s="1834"/>
      <c r="C118" s="1237" t="s">
        <v>2519</v>
      </c>
      <c r="D118" s="1251" t="s">
        <v>738</v>
      </c>
      <c r="E118" s="1233"/>
      <c r="F118" s="1251" t="s">
        <v>2530</v>
      </c>
      <c r="G118" s="1250"/>
      <c r="H118" s="177" t="s">
        <v>69</v>
      </c>
      <c r="I118" s="1233"/>
      <c r="J118" s="49" t="s">
        <v>677</v>
      </c>
      <c r="K118" s="49" t="s">
        <v>677</v>
      </c>
      <c r="L118" s="177" t="s">
        <v>69</v>
      </c>
      <c r="M118" s="1250">
        <v>33409899</v>
      </c>
      <c r="N118" s="49" t="s">
        <v>14</v>
      </c>
      <c r="O118" s="1243" t="s">
        <v>2342</v>
      </c>
    </row>
    <row r="119" spans="1:15" ht="178.5">
      <c r="A119" s="1235"/>
      <c r="B119" s="1834"/>
      <c r="C119" s="1237" t="s">
        <v>2531</v>
      </c>
      <c r="D119" s="1251" t="s">
        <v>2383</v>
      </c>
      <c r="E119" s="1233"/>
      <c r="F119" s="1251" t="s">
        <v>2532</v>
      </c>
      <c r="G119" s="1250"/>
      <c r="H119" s="1269"/>
      <c r="I119" s="1233"/>
      <c r="J119" s="49" t="s">
        <v>677</v>
      </c>
      <c r="K119" s="49" t="s">
        <v>677</v>
      </c>
      <c r="L119" s="49"/>
      <c r="M119" s="1250"/>
      <c r="N119" s="1233"/>
      <c r="O119" s="1234" t="s">
        <v>2328</v>
      </c>
    </row>
    <row r="120" spans="1:15" ht="204">
      <c r="A120" s="1235"/>
      <c r="B120" s="1834"/>
      <c r="C120" s="1237" t="s">
        <v>2533</v>
      </c>
      <c r="D120" s="1251" t="s">
        <v>2383</v>
      </c>
      <c r="E120" s="1253"/>
      <c r="F120" s="1251" t="s">
        <v>2534</v>
      </c>
      <c r="G120" s="1254"/>
      <c r="H120" s="1265" t="s">
        <v>91</v>
      </c>
      <c r="I120" s="1253"/>
      <c r="J120" s="326" t="s">
        <v>677</v>
      </c>
      <c r="K120" s="326" t="s">
        <v>677</v>
      </c>
      <c r="L120" s="1265" t="s">
        <v>91</v>
      </c>
      <c r="M120" s="1254"/>
      <c r="N120" s="326" t="s">
        <v>14</v>
      </c>
      <c r="O120" s="1251" t="s">
        <v>2515</v>
      </c>
    </row>
    <row r="121" spans="1:15" ht="51">
      <c r="A121" s="1235"/>
      <c r="B121" s="1834"/>
      <c r="C121" s="1237" t="s">
        <v>2528</v>
      </c>
      <c r="D121" s="1270" t="s">
        <v>2386</v>
      </c>
      <c r="E121" s="1253"/>
      <c r="F121" s="1270" t="s">
        <v>2535</v>
      </c>
      <c r="G121" s="1254"/>
      <c r="H121" s="1265" t="s">
        <v>91</v>
      </c>
      <c r="I121" s="1253"/>
      <c r="J121" s="326" t="s">
        <v>677</v>
      </c>
      <c r="K121" s="326" t="s">
        <v>677</v>
      </c>
      <c r="L121" s="1265" t="s">
        <v>91</v>
      </c>
      <c r="M121" s="1254"/>
      <c r="N121" s="326" t="s">
        <v>14</v>
      </c>
      <c r="O121" s="1251" t="s">
        <v>2515</v>
      </c>
    </row>
    <row r="122" spans="1:15" ht="51">
      <c r="A122" s="1235"/>
      <c r="B122" s="1834"/>
      <c r="C122" s="1267" t="s">
        <v>2536</v>
      </c>
      <c r="D122" s="1251" t="s">
        <v>2418</v>
      </c>
      <c r="E122" s="1233"/>
      <c r="F122" s="1251" t="s">
        <v>2537</v>
      </c>
      <c r="G122" s="1250"/>
      <c r="H122" s="1271"/>
      <c r="I122" s="1233"/>
      <c r="J122" s="49" t="s">
        <v>677</v>
      </c>
      <c r="K122" s="49" t="s">
        <v>677</v>
      </c>
      <c r="L122" s="49"/>
      <c r="M122" s="1250"/>
      <c r="N122" s="1233"/>
      <c r="O122" s="1234" t="s">
        <v>2328</v>
      </c>
    </row>
    <row r="123" spans="1:15" ht="76.5">
      <c r="A123" s="1235"/>
      <c r="B123" s="1834"/>
      <c r="C123" s="1246" t="s">
        <v>2538</v>
      </c>
      <c r="D123" s="1828" t="s">
        <v>2407</v>
      </c>
      <c r="E123" s="1233"/>
      <c r="F123" s="1251" t="s">
        <v>2539</v>
      </c>
      <c r="G123" s="1250">
        <v>30000000</v>
      </c>
      <c r="H123" s="1076"/>
      <c r="I123" s="1233"/>
      <c r="J123" s="49" t="s">
        <v>677</v>
      </c>
      <c r="K123" s="49" t="s">
        <v>677</v>
      </c>
      <c r="L123" s="49"/>
      <c r="M123" s="1250">
        <v>30000000</v>
      </c>
      <c r="N123" s="1233"/>
      <c r="O123" s="1234" t="s">
        <v>2328</v>
      </c>
    </row>
    <row r="124" spans="1:15" ht="102">
      <c r="A124" s="1235"/>
      <c r="B124" s="1834"/>
      <c r="C124" s="1237" t="s">
        <v>2540</v>
      </c>
      <c r="D124" s="1828"/>
      <c r="E124" s="1233"/>
      <c r="F124" s="1251" t="s">
        <v>2541</v>
      </c>
      <c r="G124" s="1250">
        <v>40000000</v>
      </c>
      <c r="H124" s="1076"/>
      <c r="I124" s="1233"/>
      <c r="J124" s="49" t="s">
        <v>677</v>
      </c>
      <c r="K124" s="49" t="s">
        <v>677</v>
      </c>
      <c r="L124" s="49"/>
      <c r="M124" s="1250">
        <v>40000000</v>
      </c>
      <c r="N124" s="1233"/>
      <c r="O124" s="1234" t="s">
        <v>2328</v>
      </c>
    </row>
    <row r="125" spans="1:15" ht="89.25">
      <c r="A125" s="1235"/>
      <c r="B125" s="1834"/>
      <c r="C125" s="1237" t="s">
        <v>2542</v>
      </c>
      <c r="D125" s="1828"/>
      <c r="E125" s="1233"/>
      <c r="F125" s="1251" t="s">
        <v>2543</v>
      </c>
      <c r="G125" s="1250">
        <v>45000000</v>
      </c>
      <c r="H125" s="1076"/>
      <c r="I125" s="1233"/>
      <c r="J125" s="49" t="s">
        <v>677</v>
      </c>
      <c r="K125" s="49" t="s">
        <v>677</v>
      </c>
      <c r="L125" s="49"/>
      <c r="M125" s="1250">
        <v>45000000</v>
      </c>
      <c r="N125" s="1233"/>
      <c r="O125" s="1234" t="s">
        <v>2328</v>
      </c>
    </row>
    <row r="126" spans="1:15" ht="63.75">
      <c r="A126" s="1235"/>
      <c r="B126" s="1834"/>
      <c r="C126" s="1237" t="s">
        <v>2544</v>
      </c>
      <c r="D126" s="1828"/>
      <c r="E126" s="1233"/>
      <c r="F126" s="1251" t="s">
        <v>2545</v>
      </c>
      <c r="G126" s="1250">
        <v>8000000</v>
      </c>
      <c r="H126" s="1076"/>
      <c r="I126" s="1233"/>
      <c r="J126" s="49" t="s">
        <v>677</v>
      </c>
      <c r="K126" s="49" t="s">
        <v>677</v>
      </c>
      <c r="L126" s="49"/>
      <c r="M126" s="1250">
        <v>8000000</v>
      </c>
      <c r="N126" s="1233"/>
      <c r="O126" s="1234" t="s">
        <v>2328</v>
      </c>
    </row>
    <row r="127" spans="1:15" ht="76.5">
      <c r="A127" s="1235"/>
      <c r="B127" s="1834"/>
      <c r="C127" s="1237" t="s">
        <v>2546</v>
      </c>
      <c r="D127" s="1828"/>
      <c r="E127" s="1233"/>
      <c r="F127" s="1251" t="s">
        <v>2547</v>
      </c>
      <c r="G127" s="1250">
        <v>8000000</v>
      </c>
      <c r="H127" s="1076"/>
      <c r="I127" s="1233"/>
      <c r="J127" s="49" t="s">
        <v>677</v>
      </c>
      <c r="K127" s="49" t="s">
        <v>677</v>
      </c>
      <c r="L127" s="49"/>
      <c r="M127" s="1250">
        <v>8000000</v>
      </c>
      <c r="N127" s="1233"/>
      <c r="O127" s="1234" t="s">
        <v>2328</v>
      </c>
    </row>
    <row r="128" spans="1:15" ht="63.75">
      <c r="A128" s="1235"/>
      <c r="B128" s="1834"/>
      <c r="C128" s="1267" t="s">
        <v>2452</v>
      </c>
      <c r="D128" s="1828"/>
      <c r="E128" s="1233"/>
      <c r="F128" s="1251" t="s">
        <v>2548</v>
      </c>
      <c r="G128" s="1250">
        <v>100000000</v>
      </c>
      <c r="H128" s="1271"/>
      <c r="I128" s="1233"/>
      <c r="J128" s="49" t="s">
        <v>677</v>
      </c>
      <c r="K128" s="49" t="s">
        <v>677</v>
      </c>
      <c r="L128" s="49"/>
      <c r="M128" s="1250">
        <v>100000000</v>
      </c>
      <c r="N128" s="1233"/>
      <c r="O128" s="1234" t="s">
        <v>2328</v>
      </c>
    </row>
    <row r="129" spans="1:15" ht="89.25">
      <c r="A129" s="1235"/>
      <c r="B129" s="1834"/>
      <c r="C129" s="1237" t="s">
        <v>2549</v>
      </c>
      <c r="D129" s="1828" t="s">
        <v>424</v>
      </c>
      <c r="E129" s="1233"/>
      <c r="F129" s="1251" t="s">
        <v>2550</v>
      </c>
      <c r="G129" s="1250">
        <v>20000000</v>
      </c>
      <c r="H129" s="1076"/>
      <c r="I129" s="1233"/>
      <c r="J129" s="49" t="s">
        <v>677</v>
      </c>
      <c r="K129" s="49" t="s">
        <v>677</v>
      </c>
      <c r="L129" s="49"/>
      <c r="M129" s="1250">
        <v>20000000</v>
      </c>
      <c r="N129" s="1233"/>
      <c r="O129" s="1234" t="s">
        <v>2328</v>
      </c>
    </row>
    <row r="130" spans="1:15" ht="102">
      <c r="A130" s="1235"/>
      <c r="B130" s="1834"/>
      <c r="C130" s="1237" t="s">
        <v>2551</v>
      </c>
      <c r="D130" s="1828"/>
      <c r="E130" s="1233"/>
      <c r="F130" s="1251" t="s">
        <v>2552</v>
      </c>
      <c r="G130" s="1250">
        <v>85000000</v>
      </c>
      <c r="H130" s="1076"/>
      <c r="I130" s="1233"/>
      <c r="J130" s="49" t="s">
        <v>677</v>
      </c>
      <c r="K130" s="49" t="s">
        <v>677</v>
      </c>
      <c r="L130" s="49"/>
      <c r="M130" s="1250">
        <v>85000000</v>
      </c>
      <c r="N130" s="1233"/>
      <c r="O130" s="1234" t="s">
        <v>2328</v>
      </c>
    </row>
    <row r="131" spans="1:15" ht="89.25">
      <c r="A131" s="1235"/>
      <c r="B131" s="1834"/>
      <c r="C131" s="1237" t="s">
        <v>2553</v>
      </c>
      <c r="D131" s="1828"/>
      <c r="E131" s="1233"/>
      <c r="F131" s="1251" t="s">
        <v>2554</v>
      </c>
      <c r="G131" s="1250">
        <v>80000000</v>
      </c>
      <c r="H131" s="1076"/>
      <c r="I131" s="1233"/>
      <c r="J131" s="49" t="s">
        <v>677</v>
      </c>
      <c r="K131" s="49" t="s">
        <v>677</v>
      </c>
      <c r="L131" s="49"/>
      <c r="M131" s="1250">
        <v>80000000</v>
      </c>
      <c r="N131" s="1233"/>
      <c r="O131" s="1234" t="s">
        <v>2328</v>
      </c>
    </row>
    <row r="132" spans="1:15" ht="63.75">
      <c r="A132" s="1235"/>
      <c r="B132" s="1834"/>
      <c r="C132" s="1237" t="s">
        <v>2555</v>
      </c>
      <c r="D132" s="1828"/>
      <c r="E132" s="1233"/>
      <c r="F132" s="1251" t="s">
        <v>2556</v>
      </c>
      <c r="G132" s="1250">
        <v>40000000</v>
      </c>
      <c r="H132" s="1076"/>
      <c r="I132" s="1233"/>
      <c r="J132" s="49" t="s">
        <v>677</v>
      </c>
      <c r="K132" s="49" t="s">
        <v>677</v>
      </c>
      <c r="L132" s="49"/>
      <c r="M132" s="1250">
        <v>40000000</v>
      </c>
      <c r="N132" s="1233"/>
      <c r="O132" s="1234" t="s">
        <v>2328</v>
      </c>
    </row>
    <row r="133" spans="1:15" ht="38.25">
      <c r="A133" s="1235"/>
      <c r="B133" s="1834"/>
      <c r="C133" s="1237" t="s">
        <v>2557</v>
      </c>
      <c r="D133" s="1828"/>
      <c r="E133" s="1233"/>
      <c r="F133" s="1251" t="s">
        <v>2558</v>
      </c>
      <c r="G133" s="1250">
        <v>15000000</v>
      </c>
      <c r="H133" s="1076"/>
      <c r="I133" s="1233"/>
      <c r="J133" s="49" t="s">
        <v>677</v>
      </c>
      <c r="K133" s="49" t="s">
        <v>677</v>
      </c>
      <c r="L133" s="49"/>
      <c r="M133" s="1250">
        <v>15000000</v>
      </c>
      <c r="N133" s="1233"/>
      <c r="O133" s="1234" t="s">
        <v>2328</v>
      </c>
    </row>
    <row r="134" spans="1:15" ht="76.5">
      <c r="A134" s="1235"/>
      <c r="B134" s="1834"/>
      <c r="C134" s="1237" t="s">
        <v>2559</v>
      </c>
      <c r="D134" s="1828"/>
      <c r="E134" s="1233"/>
      <c r="F134" s="1251" t="s">
        <v>2560</v>
      </c>
      <c r="G134" s="1250">
        <v>40000000</v>
      </c>
      <c r="H134" s="1076"/>
      <c r="I134" s="1233"/>
      <c r="J134" s="49" t="s">
        <v>677</v>
      </c>
      <c r="K134" s="49" t="s">
        <v>677</v>
      </c>
      <c r="L134" s="49"/>
      <c r="M134" s="1250">
        <v>40000000</v>
      </c>
      <c r="N134" s="1233"/>
      <c r="O134" s="1234" t="s">
        <v>2328</v>
      </c>
    </row>
    <row r="135" spans="1:15" ht="76.5">
      <c r="A135" s="1235"/>
      <c r="B135" s="1834"/>
      <c r="C135" s="1237" t="s">
        <v>2561</v>
      </c>
      <c r="D135" s="1828" t="s">
        <v>389</v>
      </c>
      <c r="E135" s="1233"/>
      <c r="F135" s="1251" t="s">
        <v>2562</v>
      </c>
      <c r="G135" s="1250">
        <v>30000000</v>
      </c>
      <c r="H135" s="1076"/>
      <c r="I135" s="1233"/>
      <c r="J135" s="49" t="s">
        <v>677</v>
      </c>
      <c r="K135" s="49" t="s">
        <v>677</v>
      </c>
      <c r="L135" s="49"/>
      <c r="M135" s="1250">
        <v>30000000</v>
      </c>
      <c r="N135" s="1233"/>
      <c r="O135" s="1234" t="s">
        <v>2328</v>
      </c>
    </row>
    <row r="136" spans="1:15" ht="63.75">
      <c r="A136" s="1235"/>
      <c r="B136" s="1834"/>
      <c r="C136" s="1237" t="s">
        <v>2563</v>
      </c>
      <c r="D136" s="1828"/>
      <c r="E136" s="1233"/>
      <c r="F136" s="1251" t="s">
        <v>2564</v>
      </c>
      <c r="G136" s="1250">
        <v>70000000</v>
      </c>
      <c r="H136" s="1076"/>
      <c r="I136" s="1233"/>
      <c r="J136" s="49" t="s">
        <v>677</v>
      </c>
      <c r="K136" s="49" t="s">
        <v>677</v>
      </c>
      <c r="L136" s="49"/>
      <c r="M136" s="1250">
        <v>70000000</v>
      </c>
      <c r="N136" s="1233"/>
      <c r="O136" s="1234" t="s">
        <v>2328</v>
      </c>
    </row>
    <row r="137" spans="1:15" ht="63.75">
      <c r="A137" s="1235"/>
      <c r="B137" s="1834"/>
      <c r="C137" s="1237" t="s">
        <v>2565</v>
      </c>
      <c r="D137" s="1828"/>
      <c r="E137" s="1233"/>
      <c r="F137" s="1251" t="s">
        <v>2566</v>
      </c>
      <c r="G137" s="1250">
        <v>90000000</v>
      </c>
      <c r="H137" s="1076"/>
      <c r="I137" s="1233"/>
      <c r="J137" s="49" t="s">
        <v>677</v>
      </c>
      <c r="K137" s="49" t="s">
        <v>677</v>
      </c>
      <c r="L137" s="49"/>
      <c r="M137" s="1250">
        <v>90000000</v>
      </c>
      <c r="N137" s="1233"/>
      <c r="O137" s="1234" t="s">
        <v>2328</v>
      </c>
    </row>
    <row r="138" spans="1:15" ht="102">
      <c r="A138" s="1235"/>
      <c r="B138" s="1834"/>
      <c r="C138" s="1237" t="s">
        <v>2567</v>
      </c>
      <c r="D138" s="1828"/>
      <c r="E138" s="1233"/>
      <c r="F138" s="1251" t="s">
        <v>2568</v>
      </c>
      <c r="G138" s="1250">
        <v>90000000</v>
      </c>
      <c r="H138" s="1076"/>
      <c r="I138" s="1233"/>
      <c r="J138" s="49" t="s">
        <v>677</v>
      </c>
      <c r="K138" s="49" t="s">
        <v>677</v>
      </c>
      <c r="L138" s="49"/>
      <c r="M138" s="1250">
        <v>90000000</v>
      </c>
      <c r="N138" s="1233"/>
      <c r="O138" s="1234" t="s">
        <v>2328</v>
      </c>
    </row>
    <row r="139" spans="1:15" ht="89.25">
      <c r="A139" s="1235"/>
      <c r="B139" s="1834"/>
      <c r="C139" s="1237" t="s">
        <v>2569</v>
      </c>
      <c r="D139" s="1828"/>
      <c r="E139" s="1233"/>
      <c r="F139" s="1251" t="s">
        <v>2570</v>
      </c>
      <c r="G139" s="1250">
        <v>80000000</v>
      </c>
      <c r="H139" s="1076"/>
      <c r="I139" s="1233"/>
      <c r="J139" s="49" t="s">
        <v>677</v>
      </c>
      <c r="K139" s="49" t="s">
        <v>677</v>
      </c>
      <c r="L139" s="49"/>
      <c r="M139" s="1250">
        <v>80000000</v>
      </c>
      <c r="N139" s="1233"/>
      <c r="O139" s="1234" t="s">
        <v>2328</v>
      </c>
    </row>
    <row r="140" spans="1:15" ht="89.25">
      <c r="A140" s="1235"/>
      <c r="B140" s="1834"/>
      <c r="C140" s="1246" t="s">
        <v>2364</v>
      </c>
      <c r="D140" s="1257" t="s">
        <v>2365</v>
      </c>
      <c r="E140" s="1233"/>
      <c r="F140" s="1246" t="s">
        <v>2571</v>
      </c>
      <c r="G140" s="1239">
        <v>30000000</v>
      </c>
      <c r="H140" s="1271"/>
      <c r="I140" s="1233"/>
      <c r="J140" s="49" t="s">
        <v>677</v>
      </c>
      <c r="K140" s="49" t="s">
        <v>677</v>
      </c>
      <c r="L140" s="49"/>
      <c r="M140" s="1239">
        <v>30000000</v>
      </c>
      <c r="N140" s="1233"/>
      <c r="O140" s="1234" t="s">
        <v>2328</v>
      </c>
    </row>
    <row r="141" spans="1:15">
      <c r="A141" s="1272">
        <v>1136008119</v>
      </c>
      <c r="B141" s="1830" t="s">
        <v>2572</v>
      </c>
      <c r="C141" s="1830"/>
      <c r="D141" s="1240"/>
      <c r="E141" s="1230"/>
      <c r="F141" s="1230"/>
      <c r="G141" s="1231">
        <v>727779748</v>
      </c>
      <c r="H141" s="1076"/>
      <c r="I141" s="1233"/>
      <c r="J141" s="49" t="s">
        <v>677</v>
      </c>
      <c r="K141" s="49" t="s">
        <v>677</v>
      </c>
      <c r="L141" s="49"/>
      <c r="M141" s="1231">
        <v>727779748</v>
      </c>
      <c r="N141" s="1233"/>
      <c r="O141" s="1233"/>
    </row>
    <row r="142" spans="1:15" ht="89.25">
      <c r="A142" s="1235">
        <v>113608119000001</v>
      </c>
      <c r="B142" s="1832" t="s">
        <v>82</v>
      </c>
      <c r="C142" s="1273" t="s">
        <v>82</v>
      </c>
      <c r="D142" s="1240"/>
      <c r="E142" s="1230"/>
      <c r="F142" s="1229" t="s">
        <v>225</v>
      </c>
      <c r="G142" s="1231">
        <f>SUM(G143:G157)</f>
        <v>615000000</v>
      </c>
      <c r="H142" s="1076"/>
      <c r="I142" s="1233"/>
      <c r="J142" s="49" t="s">
        <v>677</v>
      </c>
      <c r="K142" s="49" t="s">
        <v>677</v>
      </c>
      <c r="L142" s="49"/>
      <c r="M142" s="1231">
        <f>SUM(M143:M157)</f>
        <v>551082291</v>
      </c>
      <c r="N142" s="1233"/>
      <c r="O142" s="1233"/>
    </row>
    <row r="143" spans="1:15" ht="51">
      <c r="A143" s="1235"/>
      <c r="B143" s="1832"/>
      <c r="C143" s="1237" t="s">
        <v>2573</v>
      </c>
      <c r="D143" s="1251" t="s">
        <v>685</v>
      </c>
      <c r="E143" s="1233"/>
      <c r="F143" s="1251" t="s">
        <v>2574</v>
      </c>
      <c r="G143" s="1250">
        <v>48000000</v>
      </c>
      <c r="H143" s="177" t="s">
        <v>89</v>
      </c>
      <c r="I143" s="1233"/>
      <c r="J143" s="49" t="s">
        <v>677</v>
      </c>
      <c r="K143" s="49" t="s">
        <v>677</v>
      </c>
      <c r="L143" s="177" t="s">
        <v>91</v>
      </c>
      <c r="M143" s="1250">
        <v>39508730</v>
      </c>
      <c r="N143" s="49" t="s">
        <v>14</v>
      </c>
      <c r="O143" s="1243" t="s">
        <v>2342</v>
      </c>
    </row>
    <row r="144" spans="1:15" ht="51">
      <c r="A144" s="1235"/>
      <c r="B144" s="1832"/>
      <c r="C144" s="1237" t="s">
        <v>2573</v>
      </c>
      <c r="D144" s="1251" t="s">
        <v>740</v>
      </c>
      <c r="E144" s="1233"/>
      <c r="F144" s="1251" t="s">
        <v>2575</v>
      </c>
      <c r="G144" s="1250">
        <v>48000000</v>
      </c>
      <c r="H144" s="177"/>
      <c r="I144" s="1233"/>
      <c r="J144" s="49" t="s">
        <v>677</v>
      </c>
      <c r="K144" s="49" t="s">
        <v>677</v>
      </c>
      <c r="L144" s="177" t="s">
        <v>70</v>
      </c>
      <c r="M144" s="1250">
        <v>29958740</v>
      </c>
      <c r="N144" s="49" t="s">
        <v>14</v>
      </c>
      <c r="O144" s="1243" t="s">
        <v>2342</v>
      </c>
    </row>
    <row r="145" spans="1:15" ht="51">
      <c r="A145" s="1235"/>
      <c r="B145" s="1832"/>
      <c r="C145" s="1237" t="s">
        <v>2573</v>
      </c>
      <c r="D145" s="1251" t="s">
        <v>424</v>
      </c>
      <c r="E145" s="1233"/>
      <c r="F145" s="1251" t="s">
        <v>2576</v>
      </c>
      <c r="G145" s="1250">
        <v>48000000</v>
      </c>
      <c r="H145" s="177" t="s">
        <v>89</v>
      </c>
      <c r="I145" s="1233"/>
      <c r="J145" s="49" t="s">
        <v>677</v>
      </c>
      <c r="K145" s="49" t="s">
        <v>677</v>
      </c>
      <c r="L145" s="177" t="s">
        <v>91</v>
      </c>
      <c r="M145" s="1250">
        <v>43334410</v>
      </c>
      <c r="N145" s="49" t="s">
        <v>14</v>
      </c>
      <c r="O145" s="1243" t="s">
        <v>2342</v>
      </c>
    </row>
    <row r="146" spans="1:15" ht="63.75">
      <c r="A146" s="1235"/>
      <c r="B146" s="1832"/>
      <c r="C146" s="1237" t="s">
        <v>2573</v>
      </c>
      <c r="D146" s="1251" t="s">
        <v>787</v>
      </c>
      <c r="E146" s="1233"/>
      <c r="F146" s="1251" t="s">
        <v>2577</v>
      </c>
      <c r="G146" s="1250">
        <v>48000000</v>
      </c>
      <c r="H146" s="177" t="s">
        <v>69</v>
      </c>
      <c r="I146" s="1233"/>
      <c r="J146" s="49" t="s">
        <v>677</v>
      </c>
      <c r="K146" s="49" t="s">
        <v>677</v>
      </c>
      <c r="L146" s="177" t="s">
        <v>36</v>
      </c>
      <c r="M146" s="1250">
        <v>37786710</v>
      </c>
      <c r="N146" s="49" t="s">
        <v>14</v>
      </c>
      <c r="O146" s="1243" t="s">
        <v>2342</v>
      </c>
    </row>
    <row r="147" spans="1:15" ht="63.75">
      <c r="A147" s="1235"/>
      <c r="B147" s="1832"/>
      <c r="C147" s="1237" t="s">
        <v>2573</v>
      </c>
      <c r="D147" s="1251" t="s">
        <v>2386</v>
      </c>
      <c r="E147" s="1233"/>
      <c r="F147" s="1251" t="s">
        <v>2578</v>
      </c>
      <c r="G147" s="1250">
        <v>48000000</v>
      </c>
      <c r="H147" s="177" t="s">
        <v>69</v>
      </c>
      <c r="I147" s="1233"/>
      <c r="J147" s="49" t="s">
        <v>677</v>
      </c>
      <c r="K147" s="49" t="s">
        <v>677</v>
      </c>
      <c r="L147" s="177" t="s">
        <v>36</v>
      </c>
      <c r="M147" s="1250">
        <v>45109790</v>
      </c>
      <c r="N147" s="49" t="s">
        <v>14</v>
      </c>
      <c r="O147" s="1243" t="s">
        <v>2342</v>
      </c>
    </row>
    <row r="148" spans="1:15" ht="51">
      <c r="A148" s="1235"/>
      <c r="B148" s="1832"/>
      <c r="C148" s="1237" t="s">
        <v>2573</v>
      </c>
      <c r="D148" s="1251" t="s">
        <v>496</v>
      </c>
      <c r="E148" s="1233"/>
      <c r="F148" s="1251" t="s">
        <v>2579</v>
      </c>
      <c r="G148" s="1250">
        <v>48000000</v>
      </c>
      <c r="H148" s="177"/>
      <c r="I148" s="1233"/>
      <c r="J148" s="49" t="s">
        <v>677</v>
      </c>
      <c r="K148" s="49" t="s">
        <v>677</v>
      </c>
      <c r="L148" s="177" t="s">
        <v>69</v>
      </c>
      <c r="M148" s="1250">
        <v>45506220</v>
      </c>
      <c r="N148" s="49" t="s">
        <v>14</v>
      </c>
      <c r="O148" s="1243" t="s">
        <v>2342</v>
      </c>
    </row>
    <row r="149" spans="1:15" ht="89.25">
      <c r="A149" s="1235"/>
      <c r="B149" s="1832"/>
      <c r="C149" s="1237" t="s">
        <v>2573</v>
      </c>
      <c r="D149" s="1251" t="s">
        <v>2383</v>
      </c>
      <c r="E149" s="1233"/>
      <c r="F149" s="1251" t="s">
        <v>2580</v>
      </c>
      <c r="G149" s="1250">
        <v>48000000</v>
      </c>
      <c r="H149" s="177" t="s">
        <v>91</v>
      </c>
      <c r="I149" s="1233"/>
      <c r="J149" s="49" t="s">
        <v>677</v>
      </c>
      <c r="K149" s="49" t="s">
        <v>677</v>
      </c>
      <c r="L149" s="177" t="s">
        <v>91</v>
      </c>
      <c r="M149" s="1250">
        <v>30877691</v>
      </c>
      <c r="N149" s="49" t="s">
        <v>14</v>
      </c>
      <c r="O149" s="1243" t="s">
        <v>2342</v>
      </c>
    </row>
    <row r="150" spans="1:15" ht="51">
      <c r="A150" s="1235"/>
      <c r="B150" s="1832"/>
      <c r="C150" s="1246" t="s">
        <v>2581</v>
      </c>
      <c r="D150" s="1251" t="s">
        <v>2418</v>
      </c>
      <c r="E150" s="1233"/>
      <c r="F150" s="1251" t="s">
        <v>2582</v>
      </c>
      <c r="G150" s="1250">
        <v>20000000</v>
      </c>
      <c r="H150" s="1076"/>
      <c r="I150" s="1233"/>
      <c r="J150" s="49" t="s">
        <v>677</v>
      </c>
      <c r="K150" s="49" t="s">
        <v>677</v>
      </c>
      <c r="L150" s="49"/>
      <c r="M150" s="1250">
        <v>20000000</v>
      </c>
      <c r="N150" s="1233"/>
      <c r="O150" s="1234" t="s">
        <v>2328</v>
      </c>
    </row>
    <row r="151" spans="1:15" ht="51">
      <c r="A151" s="1235"/>
      <c r="B151" s="1832"/>
      <c r="C151" s="1237" t="s">
        <v>2581</v>
      </c>
      <c r="D151" s="1828" t="s">
        <v>389</v>
      </c>
      <c r="E151" s="1233"/>
      <c r="F151" s="1251" t="s">
        <v>2583</v>
      </c>
      <c r="G151" s="1250">
        <v>20000000</v>
      </c>
      <c r="H151" s="1076"/>
      <c r="I151" s="1233"/>
      <c r="J151" s="49" t="s">
        <v>677</v>
      </c>
      <c r="K151" s="49" t="s">
        <v>677</v>
      </c>
      <c r="L151" s="49"/>
      <c r="M151" s="1250">
        <v>20000000</v>
      </c>
      <c r="N151" s="1233"/>
      <c r="O151" s="1234" t="s">
        <v>2328</v>
      </c>
    </row>
    <row r="152" spans="1:15" ht="153">
      <c r="A152" s="1235"/>
      <c r="B152" s="1832"/>
      <c r="C152" s="1237" t="s">
        <v>2584</v>
      </c>
      <c r="D152" s="1828"/>
      <c r="E152" s="1233"/>
      <c r="F152" s="1251" t="s">
        <v>2585</v>
      </c>
      <c r="G152" s="1250">
        <v>120000000</v>
      </c>
      <c r="H152" s="1076"/>
      <c r="I152" s="1233"/>
      <c r="J152" s="49" t="s">
        <v>677</v>
      </c>
      <c r="K152" s="49" t="s">
        <v>677</v>
      </c>
      <c r="L152" s="49"/>
      <c r="M152" s="1250">
        <v>120000000</v>
      </c>
      <c r="N152" s="1233"/>
      <c r="O152" s="1234" t="s">
        <v>2328</v>
      </c>
    </row>
    <row r="153" spans="1:15" ht="63.75">
      <c r="A153" s="1235"/>
      <c r="B153" s="1832"/>
      <c r="C153" s="1246" t="s">
        <v>2586</v>
      </c>
      <c r="D153" s="1270" t="s">
        <v>2403</v>
      </c>
      <c r="E153" s="1233"/>
      <c r="F153" s="1270" t="s">
        <v>2587</v>
      </c>
      <c r="G153" s="1239">
        <v>12000000</v>
      </c>
      <c r="H153" s="1076"/>
      <c r="I153" s="1233"/>
      <c r="J153" s="49" t="s">
        <v>677</v>
      </c>
      <c r="K153" s="49" t="s">
        <v>677</v>
      </c>
      <c r="L153" s="49"/>
      <c r="M153" s="1239">
        <v>12000000</v>
      </c>
      <c r="N153" s="1233"/>
      <c r="O153" s="1234" t="s">
        <v>2328</v>
      </c>
    </row>
    <row r="154" spans="1:15" ht="51">
      <c r="A154" s="1235"/>
      <c r="B154" s="1832"/>
      <c r="C154" s="1246" t="s">
        <v>2573</v>
      </c>
      <c r="D154" s="1270" t="s">
        <v>2436</v>
      </c>
      <c r="E154" s="1233"/>
      <c r="F154" s="1270" t="s">
        <v>2588</v>
      </c>
      <c r="G154" s="1239">
        <v>48000000</v>
      </c>
      <c r="H154" s="1076"/>
      <c r="I154" s="1233"/>
      <c r="J154" s="49" t="s">
        <v>677</v>
      </c>
      <c r="K154" s="49" t="s">
        <v>677</v>
      </c>
      <c r="L154" s="49"/>
      <c r="M154" s="1239">
        <v>48000000</v>
      </c>
      <c r="N154" s="1233"/>
      <c r="O154" s="1234" t="s">
        <v>2328</v>
      </c>
    </row>
    <row r="155" spans="1:15" ht="38.25">
      <c r="A155" s="1235"/>
      <c r="B155" s="1832"/>
      <c r="C155" s="1246" t="s">
        <v>2589</v>
      </c>
      <c r="D155" s="1270" t="s">
        <v>2590</v>
      </c>
      <c r="E155" s="1233"/>
      <c r="F155" s="1270" t="s">
        <v>2591</v>
      </c>
      <c r="G155" s="1239">
        <v>24000000</v>
      </c>
      <c r="H155" s="1076"/>
      <c r="I155" s="1233"/>
      <c r="J155" s="49" t="s">
        <v>677</v>
      </c>
      <c r="K155" s="49" t="s">
        <v>677</v>
      </c>
      <c r="L155" s="49"/>
      <c r="M155" s="1239">
        <v>24000000</v>
      </c>
      <c r="N155" s="1233"/>
      <c r="O155" s="1234" t="s">
        <v>2328</v>
      </c>
    </row>
    <row r="156" spans="1:15" ht="89.25">
      <c r="A156" s="1235"/>
      <c r="B156" s="1832"/>
      <c r="C156" s="1246" t="s">
        <v>2592</v>
      </c>
      <c r="D156" s="1270" t="s">
        <v>2383</v>
      </c>
      <c r="E156" s="1233"/>
      <c r="F156" s="1270" t="s">
        <v>2593</v>
      </c>
      <c r="G156" s="1239">
        <v>20000000</v>
      </c>
      <c r="H156" s="1076"/>
      <c r="I156" s="1233"/>
      <c r="J156" s="49" t="s">
        <v>677</v>
      </c>
      <c r="K156" s="49" t="s">
        <v>677</v>
      </c>
      <c r="L156" s="49"/>
      <c r="M156" s="1239">
        <v>20000000</v>
      </c>
      <c r="N156" s="1233"/>
      <c r="O156" s="1234" t="s">
        <v>2328</v>
      </c>
    </row>
    <row r="157" spans="1:15" ht="51">
      <c r="A157" s="1235"/>
      <c r="B157" s="1832"/>
      <c r="C157" s="1247" t="s">
        <v>2594</v>
      </c>
      <c r="D157" s="1238" t="s">
        <v>2365</v>
      </c>
      <c r="E157" s="1233"/>
      <c r="F157" s="1237" t="s">
        <v>2595</v>
      </c>
      <c r="G157" s="1239">
        <v>15000000</v>
      </c>
      <c r="H157" s="1076"/>
      <c r="I157" s="1233"/>
      <c r="J157" s="49" t="s">
        <v>677</v>
      </c>
      <c r="K157" s="49" t="s">
        <v>677</v>
      </c>
      <c r="L157" s="49"/>
      <c r="M157" s="1239">
        <v>15000000</v>
      </c>
      <c r="N157" s="1233"/>
      <c r="O157" s="1234" t="s">
        <v>2328</v>
      </c>
    </row>
    <row r="158" spans="1:15" ht="127.5">
      <c r="A158" s="1235">
        <v>113608119000002</v>
      </c>
      <c r="B158" s="1828" t="s">
        <v>2596</v>
      </c>
      <c r="C158" s="1229" t="s">
        <v>2596</v>
      </c>
      <c r="D158" s="1249"/>
      <c r="E158" s="1249"/>
      <c r="F158" s="1229" t="s">
        <v>2597</v>
      </c>
      <c r="G158" s="1231">
        <f>SUM(G159:G161)</f>
        <v>104343391</v>
      </c>
      <c r="H158" s="1076"/>
      <c r="I158" s="1233"/>
      <c r="J158" s="49" t="s">
        <v>677</v>
      </c>
      <c r="K158" s="49" t="s">
        <v>677</v>
      </c>
      <c r="L158" s="49"/>
      <c r="M158" s="1231">
        <f>SUM(M159:M161)</f>
        <v>104343391</v>
      </c>
      <c r="N158" s="1233"/>
      <c r="O158" s="1233"/>
    </row>
    <row r="159" spans="1:15" ht="51">
      <c r="A159" s="1235"/>
      <c r="B159" s="1828"/>
      <c r="C159" s="1256" t="s">
        <v>2598</v>
      </c>
      <c r="D159" s="1238" t="s">
        <v>2407</v>
      </c>
      <c r="E159" s="1233"/>
      <c r="F159" s="1237" t="s">
        <v>2599</v>
      </c>
      <c r="G159" s="1250">
        <v>59343391</v>
      </c>
      <c r="H159" s="1076"/>
      <c r="I159" s="1233"/>
      <c r="J159" s="49" t="s">
        <v>677</v>
      </c>
      <c r="K159" s="49" t="s">
        <v>677</v>
      </c>
      <c r="L159" s="49"/>
      <c r="M159" s="1250">
        <v>59343391</v>
      </c>
      <c r="N159" s="1233"/>
      <c r="O159" s="1234" t="s">
        <v>2328</v>
      </c>
    </row>
    <row r="160" spans="1:15" ht="63.75">
      <c r="A160" s="1235"/>
      <c r="B160" s="1828"/>
      <c r="C160" s="1237" t="s">
        <v>2600</v>
      </c>
      <c r="D160" s="1238" t="s">
        <v>685</v>
      </c>
      <c r="E160" s="1233"/>
      <c r="F160" s="1237" t="s">
        <v>2601</v>
      </c>
      <c r="G160" s="1250">
        <v>30000000</v>
      </c>
      <c r="H160" s="1076"/>
      <c r="I160" s="1233"/>
      <c r="J160" s="49" t="s">
        <v>677</v>
      </c>
      <c r="K160" s="49" t="s">
        <v>677</v>
      </c>
      <c r="L160" s="49"/>
      <c r="M160" s="1250">
        <v>30000000</v>
      </c>
      <c r="N160" s="1233"/>
      <c r="O160" s="1234" t="s">
        <v>2328</v>
      </c>
    </row>
    <row r="161" spans="1:15" ht="76.5">
      <c r="A161" s="1235"/>
      <c r="B161" s="1828"/>
      <c r="C161" s="1237" t="s">
        <v>2602</v>
      </c>
      <c r="D161" s="1238" t="s">
        <v>424</v>
      </c>
      <c r="E161" s="1233"/>
      <c r="F161" s="1237" t="s">
        <v>2603</v>
      </c>
      <c r="G161" s="1250">
        <v>15000000</v>
      </c>
      <c r="H161" s="1076"/>
      <c r="I161" s="1233"/>
      <c r="J161" s="49" t="s">
        <v>677</v>
      </c>
      <c r="K161" s="49" t="s">
        <v>677</v>
      </c>
      <c r="L161" s="49"/>
      <c r="M161" s="1250">
        <v>15000000</v>
      </c>
      <c r="N161" s="1233"/>
      <c r="O161" s="1234" t="s">
        <v>2328</v>
      </c>
    </row>
    <row r="162" spans="1:15" ht="76.5">
      <c r="A162" s="1235">
        <v>113608119000003</v>
      </c>
      <c r="B162" s="1828" t="s">
        <v>2604</v>
      </c>
      <c r="C162" s="1241" t="s">
        <v>2604</v>
      </c>
      <c r="D162" s="1240"/>
      <c r="E162" s="1240"/>
      <c r="F162" s="1241" t="s">
        <v>2605</v>
      </c>
      <c r="G162" s="1231">
        <v>20000000</v>
      </c>
      <c r="H162" s="1076"/>
      <c r="I162" s="1233"/>
      <c r="J162" s="49" t="s">
        <v>677</v>
      </c>
      <c r="K162" s="49" t="s">
        <v>677</v>
      </c>
      <c r="L162" s="49"/>
      <c r="M162" s="1231">
        <v>20000000</v>
      </c>
      <c r="N162" s="1233"/>
      <c r="O162" s="1234" t="s">
        <v>2328</v>
      </c>
    </row>
    <row r="163" spans="1:15" ht="89.25">
      <c r="A163" s="1235"/>
      <c r="B163" s="1828"/>
      <c r="C163" s="1274" t="s">
        <v>2604</v>
      </c>
      <c r="D163" s="1238" t="s">
        <v>83</v>
      </c>
      <c r="E163" s="1233"/>
      <c r="F163" s="1237" t="s">
        <v>2606</v>
      </c>
      <c r="G163" s="1250">
        <v>20000000</v>
      </c>
      <c r="H163" s="1275"/>
      <c r="I163" s="1233"/>
      <c r="J163" s="49" t="s">
        <v>677</v>
      </c>
      <c r="K163" s="49" t="s">
        <v>677</v>
      </c>
      <c r="L163" s="49"/>
      <c r="M163" s="1250">
        <v>20000000</v>
      </c>
      <c r="N163" s="1233"/>
      <c r="O163" s="1234" t="s">
        <v>2328</v>
      </c>
    </row>
    <row r="164" spans="1:15" ht="63.75">
      <c r="A164" s="1235"/>
      <c r="B164" s="1828"/>
      <c r="C164" s="1274" t="s">
        <v>2607</v>
      </c>
      <c r="D164" s="1238" t="s">
        <v>2403</v>
      </c>
      <c r="E164" s="1233"/>
      <c r="F164" s="1237" t="s">
        <v>2608</v>
      </c>
      <c r="G164" s="1250"/>
      <c r="H164" s="1275"/>
      <c r="I164" s="1233"/>
      <c r="J164" s="49" t="s">
        <v>677</v>
      </c>
      <c r="K164" s="49" t="s">
        <v>677</v>
      </c>
      <c r="L164" s="49"/>
      <c r="M164" s="1250"/>
      <c r="N164" s="1233"/>
      <c r="O164" s="1234" t="s">
        <v>2328</v>
      </c>
    </row>
    <row r="165" spans="1:15" ht="76.5">
      <c r="A165" s="1235">
        <v>113608119000005</v>
      </c>
      <c r="B165" s="1828" t="s">
        <v>2609</v>
      </c>
      <c r="C165" s="1229" t="s">
        <v>2609</v>
      </c>
      <c r="D165" s="1249"/>
      <c r="E165" s="1249"/>
      <c r="F165" s="1229" t="s">
        <v>2610</v>
      </c>
      <c r="G165" s="1231">
        <f>SUM(G166:G172)</f>
        <v>100450000</v>
      </c>
      <c r="H165" s="1275"/>
      <c r="I165" s="1233"/>
      <c r="J165" s="49" t="s">
        <v>677</v>
      </c>
      <c r="K165" s="49" t="s">
        <v>677</v>
      </c>
      <c r="L165" s="49"/>
      <c r="M165" s="1231">
        <f>SUM(M166:M172)</f>
        <v>100450000</v>
      </c>
      <c r="N165" s="1233"/>
      <c r="O165" s="1234" t="s">
        <v>2328</v>
      </c>
    </row>
    <row r="166" spans="1:15" ht="15.75">
      <c r="A166" s="1235"/>
      <c r="B166" s="1828"/>
      <c r="C166" s="1246" t="s">
        <v>2611</v>
      </c>
      <c r="D166" s="1251" t="s">
        <v>2436</v>
      </c>
      <c r="E166" s="1233"/>
      <c r="F166" s="1828" t="s">
        <v>2612</v>
      </c>
      <c r="G166" s="1250">
        <v>12000000</v>
      </c>
      <c r="H166" s="1275"/>
      <c r="I166" s="1233"/>
      <c r="J166" s="49" t="s">
        <v>677</v>
      </c>
      <c r="K166" s="49" t="s">
        <v>677</v>
      </c>
      <c r="L166" s="49"/>
      <c r="M166" s="1250">
        <v>12000000</v>
      </c>
      <c r="N166" s="1233"/>
      <c r="O166" s="1234" t="s">
        <v>2328</v>
      </c>
    </row>
    <row r="167" spans="1:15" ht="15.75">
      <c r="A167" s="1235"/>
      <c r="B167" s="1828"/>
      <c r="C167" s="1246" t="s">
        <v>2611</v>
      </c>
      <c r="D167" s="1251" t="s">
        <v>2496</v>
      </c>
      <c r="E167" s="1233"/>
      <c r="F167" s="1828"/>
      <c r="G167" s="1250">
        <v>15000000</v>
      </c>
      <c r="H167" s="1275"/>
      <c r="I167" s="1233"/>
      <c r="J167" s="49" t="s">
        <v>677</v>
      </c>
      <c r="K167" s="49" t="s">
        <v>677</v>
      </c>
      <c r="L167" s="49"/>
      <c r="M167" s="1250">
        <v>15000000</v>
      </c>
      <c r="N167" s="1233"/>
      <c r="O167" s="1234" t="s">
        <v>2328</v>
      </c>
    </row>
    <row r="168" spans="1:15" ht="15.75">
      <c r="A168" s="1235"/>
      <c r="B168" s="1828"/>
      <c r="C168" s="1246" t="s">
        <v>2611</v>
      </c>
      <c r="D168" s="1251" t="s">
        <v>685</v>
      </c>
      <c r="E168" s="1233"/>
      <c r="F168" s="1828"/>
      <c r="G168" s="1250">
        <v>18000000</v>
      </c>
      <c r="H168" s="1275"/>
      <c r="I168" s="1233"/>
      <c r="J168" s="49" t="s">
        <v>677</v>
      </c>
      <c r="K168" s="49" t="s">
        <v>677</v>
      </c>
      <c r="L168" s="49"/>
      <c r="M168" s="1250">
        <v>18000000</v>
      </c>
      <c r="N168" s="1233"/>
      <c r="O168" s="1234" t="s">
        <v>2328</v>
      </c>
    </row>
    <row r="169" spans="1:15" ht="15.75">
      <c r="A169" s="1235"/>
      <c r="B169" s="1828"/>
      <c r="C169" s="1246" t="s">
        <v>2611</v>
      </c>
      <c r="D169" s="1251" t="s">
        <v>2418</v>
      </c>
      <c r="E169" s="1233"/>
      <c r="F169" s="1828"/>
      <c r="G169" s="1250">
        <v>15450000</v>
      </c>
      <c r="H169" s="1275"/>
      <c r="I169" s="1233"/>
      <c r="J169" s="49" t="s">
        <v>677</v>
      </c>
      <c r="K169" s="49" t="s">
        <v>677</v>
      </c>
      <c r="L169" s="49"/>
      <c r="M169" s="1250">
        <v>15450000</v>
      </c>
      <c r="N169" s="1233"/>
      <c r="O169" s="1234" t="s">
        <v>2328</v>
      </c>
    </row>
    <row r="170" spans="1:15" ht="15.75">
      <c r="A170" s="1235"/>
      <c r="B170" s="1828"/>
      <c r="C170" s="1246" t="s">
        <v>2611</v>
      </c>
      <c r="D170" s="1251" t="s">
        <v>389</v>
      </c>
      <c r="E170" s="1233"/>
      <c r="F170" s="1828"/>
      <c r="G170" s="1250">
        <v>15000000</v>
      </c>
      <c r="H170" s="1275"/>
      <c r="I170" s="1233"/>
      <c r="J170" s="49" t="s">
        <v>677</v>
      </c>
      <c r="K170" s="49" t="s">
        <v>677</v>
      </c>
      <c r="L170" s="49"/>
      <c r="M170" s="1250">
        <v>15000000</v>
      </c>
      <c r="N170" s="1233"/>
      <c r="O170" s="1234" t="s">
        <v>2328</v>
      </c>
    </row>
    <row r="171" spans="1:15" ht="25.5">
      <c r="A171" s="1235"/>
      <c r="B171" s="1828"/>
      <c r="C171" s="1246" t="s">
        <v>2611</v>
      </c>
      <c r="D171" s="1251" t="s">
        <v>2383</v>
      </c>
      <c r="E171" s="1233"/>
      <c r="F171" s="1828"/>
      <c r="G171" s="1250">
        <v>15000000</v>
      </c>
      <c r="H171" s="1276"/>
      <c r="I171" s="1233"/>
      <c r="J171" s="49" t="s">
        <v>677</v>
      </c>
      <c r="K171" s="49" t="s">
        <v>677</v>
      </c>
      <c r="L171" s="49"/>
      <c r="M171" s="1250">
        <v>15000000</v>
      </c>
      <c r="N171" s="1233"/>
      <c r="O171" s="1234" t="s">
        <v>2328</v>
      </c>
    </row>
    <row r="172" spans="1:15" ht="15.75">
      <c r="A172" s="1235"/>
      <c r="B172" s="1828"/>
      <c r="C172" s="1246" t="s">
        <v>2611</v>
      </c>
      <c r="D172" s="1251" t="s">
        <v>2450</v>
      </c>
      <c r="E172" s="1233"/>
      <c r="F172" s="1828"/>
      <c r="G172" s="1250">
        <v>10000000</v>
      </c>
      <c r="H172" s="1275"/>
      <c r="I172" s="1233"/>
      <c r="J172" s="49" t="s">
        <v>677</v>
      </c>
      <c r="K172" s="49" t="s">
        <v>677</v>
      </c>
      <c r="L172" s="49"/>
      <c r="M172" s="1250">
        <v>10000000</v>
      </c>
      <c r="N172" s="1233"/>
      <c r="O172" s="1234" t="s">
        <v>2328</v>
      </c>
    </row>
    <row r="173" spans="1:15" ht="76.5">
      <c r="A173" s="1235">
        <v>113608119000004</v>
      </c>
      <c r="B173" s="1828" t="s">
        <v>2613</v>
      </c>
      <c r="C173" s="1229" t="s">
        <v>2613</v>
      </c>
      <c r="D173" s="1249"/>
      <c r="E173" s="1249"/>
      <c r="F173" s="1229" t="s">
        <v>2614</v>
      </c>
      <c r="G173" s="1231">
        <v>70000000</v>
      </c>
      <c r="H173" s="1076"/>
      <c r="I173" s="1233"/>
      <c r="J173" s="49" t="s">
        <v>677</v>
      </c>
      <c r="K173" s="49" t="s">
        <v>677</v>
      </c>
      <c r="L173" s="49"/>
      <c r="M173" s="1231">
        <v>70000000</v>
      </c>
      <c r="N173" s="1233"/>
      <c r="O173" s="1234" t="s">
        <v>2328</v>
      </c>
    </row>
    <row r="174" spans="1:15" ht="63.75">
      <c r="A174" s="1235"/>
      <c r="B174" s="1828"/>
      <c r="C174" s="1237" t="s">
        <v>2615</v>
      </c>
      <c r="D174" s="1237" t="s">
        <v>2616</v>
      </c>
      <c r="E174" s="1233"/>
      <c r="F174" s="1237" t="s">
        <v>2617</v>
      </c>
      <c r="G174" s="1250">
        <v>35000000</v>
      </c>
      <c r="H174" s="1275"/>
      <c r="I174" s="1233"/>
      <c r="J174" s="49" t="s">
        <v>677</v>
      </c>
      <c r="K174" s="49" t="s">
        <v>677</v>
      </c>
      <c r="L174" s="49"/>
      <c r="M174" s="1250">
        <v>35000000</v>
      </c>
      <c r="N174" s="1233"/>
      <c r="O174" s="1234" t="s">
        <v>2328</v>
      </c>
    </row>
    <row r="175" spans="1:15" ht="76.5">
      <c r="A175" s="1235"/>
      <c r="B175" s="1828"/>
      <c r="C175" s="1237" t="s">
        <v>2615</v>
      </c>
      <c r="D175" s="1237" t="s">
        <v>2618</v>
      </c>
      <c r="E175" s="1233"/>
      <c r="F175" s="1237" t="s">
        <v>2619</v>
      </c>
      <c r="G175" s="1250">
        <v>35000000</v>
      </c>
      <c r="H175" s="1275"/>
      <c r="I175" s="1233"/>
      <c r="J175" s="49" t="s">
        <v>677</v>
      </c>
      <c r="K175" s="49" t="s">
        <v>677</v>
      </c>
      <c r="L175" s="49"/>
      <c r="M175" s="1250">
        <v>35000000</v>
      </c>
      <c r="N175" s="1233"/>
      <c r="O175" s="1234" t="s">
        <v>2328</v>
      </c>
    </row>
    <row r="176" spans="1:15" ht="89.25">
      <c r="A176" s="1235">
        <v>113608119000009</v>
      </c>
      <c r="B176" s="1831" t="s">
        <v>2620</v>
      </c>
      <c r="C176" s="1229" t="s">
        <v>2620</v>
      </c>
      <c r="D176" s="1249"/>
      <c r="E176" s="1249"/>
      <c r="F176" s="1229" t="s">
        <v>2621</v>
      </c>
      <c r="G176" s="1231">
        <f>SUM(G177:G187)</f>
        <v>222000000</v>
      </c>
      <c r="H176" s="1076"/>
      <c r="I176" s="1233"/>
      <c r="J176" s="49" t="s">
        <v>677</v>
      </c>
      <c r="K176" s="49" t="s">
        <v>677</v>
      </c>
      <c r="L176" s="49"/>
      <c r="M176" s="1231">
        <f>SUM(M177:M187)</f>
        <v>239510164</v>
      </c>
      <c r="N176" s="1233"/>
      <c r="O176" s="1233"/>
    </row>
    <row r="177" spans="1:15" ht="51">
      <c r="A177" s="1235"/>
      <c r="B177" s="1831"/>
      <c r="C177" s="1238" t="s">
        <v>2622</v>
      </c>
      <c r="D177" s="1246" t="s">
        <v>685</v>
      </c>
      <c r="E177" s="1233"/>
      <c r="F177" s="1246" t="s">
        <v>2623</v>
      </c>
      <c r="G177" s="1250">
        <v>26000000</v>
      </c>
      <c r="H177" s="1277" t="s">
        <v>69</v>
      </c>
      <c r="I177" s="1233"/>
      <c r="J177" s="49" t="s">
        <v>677</v>
      </c>
      <c r="K177" s="49" t="s">
        <v>677</v>
      </c>
      <c r="L177" s="1277" t="s">
        <v>91</v>
      </c>
      <c r="M177" s="1250">
        <v>27556852</v>
      </c>
      <c r="N177" s="49" t="s">
        <v>14</v>
      </c>
      <c r="O177" s="1243" t="s">
        <v>2342</v>
      </c>
    </row>
    <row r="178" spans="1:15" ht="51">
      <c r="A178" s="1235"/>
      <c r="B178" s="1831"/>
      <c r="C178" s="1238" t="s">
        <v>2622</v>
      </c>
      <c r="D178" s="1246" t="s">
        <v>2624</v>
      </c>
      <c r="E178" s="1233"/>
      <c r="F178" s="1246" t="s">
        <v>2625</v>
      </c>
      <c r="G178" s="1250">
        <v>20000000</v>
      </c>
      <c r="H178" s="1277" t="s">
        <v>69</v>
      </c>
      <c r="I178" s="1233"/>
      <c r="J178" s="49" t="s">
        <v>677</v>
      </c>
      <c r="K178" s="49" t="s">
        <v>677</v>
      </c>
      <c r="L178" s="1277" t="s">
        <v>91</v>
      </c>
      <c r="M178" s="1250">
        <v>28011852</v>
      </c>
      <c r="N178" s="49" t="s">
        <v>14</v>
      </c>
      <c r="O178" s="1243" t="s">
        <v>2342</v>
      </c>
    </row>
    <row r="179" spans="1:15" ht="51">
      <c r="A179" s="1235"/>
      <c r="B179" s="1831"/>
      <c r="C179" s="1238" t="s">
        <v>2622</v>
      </c>
      <c r="D179" s="1246" t="s">
        <v>389</v>
      </c>
      <c r="E179" s="1233"/>
      <c r="F179" s="1246" t="s">
        <v>2626</v>
      </c>
      <c r="G179" s="1250">
        <v>20000000</v>
      </c>
      <c r="H179" s="1277" t="s">
        <v>69</v>
      </c>
      <c r="I179" s="1233"/>
      <c r="J179" s="49" t="s">
        <v>677</v>
      </c>
      <c r="K179" s="49" t="s">
        <v>677</v>
      </c>
      <c r="L179" s="1277" t="s">
        <v>91</v>
      </c>
      <c r="M179" s="1250">
        <v>27289588</v>
      </c>
      <c r="N179" s="49" t="s">
        <v>14</v>
      </c>
      <c r="O179" s="1243" t="s">
        <v>2342</v>
      </c>
    </row>
    <row r="180" spans="1:15" ht="51">
      <c r="A180" s="1235"/>
      <c r="B180" s="1831"/>
      <c r="C180" s="1238" t="s">
        <v>2622</v>
      </c>
      <c r="D180" s="1246" t="s">
        <v>2627</v>
      </c>
      <c r="E180" s="1233"/>
      <c r="F180" s="1246" t="s">
        <v>2628</v>
      </c>
      <c r="G180" s="1250">
        <v>26000000</v>
      </c>
      <c r="H180" s="1277" t="s">
        <v>69</v>
      </c>
      <c r="I180" s="1233"/>
      <c r="J180" s="49" t="s">
        <v>677</v>
      </c>
      <c r="K180" s="49" t="s">
        <v>677</v>
      </c>
      <c r="L180" s="1277" t="s">
        <v>91</v>
      </c>
      <c r="M180" s="1250">
        <v>26313411</v>
      </c>
      <c r="N180" s="49" t="s">
        <v>14</v>
      </c>
      <c r="O180" s="1243" t="s">
        <v>2342</v>
      </c>
    </row>
    <row r="181" spans="1:15" ht="51">
      <c r="A181" s="1235"/>
      <c r="B181" s="1831"/>
      <c r="C181" s="1238" t="s">
        <v>2622</v>
      </c>
      <c r="D181" s="1246" t="s">
        <v>787</v>
      </c>
      <c r="E181" s="1233"/>
      <c r="F181" s="1246" t="s">
        <v>2629</v>
      </c>
      <c r="G181" s="1250">
        <v>26000000</v>
      </c>
      <c r="H181" s="1277" t="s">
        <v>69</v>
      </c>
      <c r="I181" s="1233"/>
      <c r="J181" s="49" t="s">
        <v>677</v>
      </c>
      <c r="K181" s="49" t="s">
        <v>677</v>
      </c>
      <c r="L181" s="1277" t="s">
        <v>89</v>
      </c>
      <c r="M181" s="1250">
        <v>23685780</v>
      </c>
      <c r="N181" s="49" t="s">
        <v>14</v>
      </c>
      <c r="O181" s="1243" t="s">
        <v>2342</v>
      </c>
    </row>
    <row r="182" spans="1:15" ht="63.75">
      <c r="A182" s="1235"/>
      <c r="B182" s="1831"/>
      <c r="C182" s="1238" t="s">
        <v>2622</v>
      </c>
      <c r="D182" s="1246" t="s">
        <v>2383</v>
      </c>
      <c r="E182" s="1233"/>
      <c r="F182" s="1246" t="s">
        <v>2630</v>
      </c>
      <c r="G182" s="1250">
        <v>26000000</v>
      </c>
      <c r="H182" s="1277" t="s">
        <v>91</v>
      </c>
      <c r="I182" s="1233"/>
      <c r="J182" s="49" t="s">
        <v>677</v>
      </c>
      <c r="K182" s="49" t="s">
        <v>677</v>
      </c>
      <c r="L182" s="1277" t="s">
        <v>91</v>
      </c>
      <c r="M182" s="1250">
        <v>28652681</v>
      </c>
      <c r="N182" s="49" t="s">
        <v>14</v>
      </c>
      <c r="O182" s="1243" t="s">
        <v>2342</v>
      </c>
    </row>
    <row r="183" spans="1:15" ht="38.25">
      <c r="A183" s="1235"/>
      <c r="B183" s="1831"/>
      <c r="C183" s="1238" t="s">
        <v>2622</v>
      </c>
      <c r="D183" s="1237" t="s">
        <v>740</v>
      </c>
      <c r="E183" s="1233"/>
      <c r="F183" s="1237" t="s">
        <v>2631</v>
      </c>
      <c r="G183" s="1250">
        <v>26000000</v>
      </c>
      <c r="H183" s="1275"/>
      <c r="I183" s="1233"/>
      <c r="J183" s="49" t="s">
        <v>677</v>
      </c>
      <c r="K183" s="49" t="s">
        <v>677</v>
      </c>
      <c r="L183" s="49"/>
      <c r="M183" s="1250">
        <v>26000000</v>
      </c>
      <c r="N183" s="1233"/>
      <c r="O183" s="1234" t="s">
        <v>2328</v>
      </c>
    </row>
    <row r="184" spans="1:15" ht="38.25">
      <c r="A184" s="1235"/>
      <c r="B184" s="1831"/>
      <c r="C184" s="1238" t="s">
        <v>2622</v>
      </c>
      <c r="D184" s="1237" t="s">
        <v>2403</v>
      </c>
      <c r="E184" s="1233"/>
      <c r="F184" s="1237" t="s">
        <v>2632</v>
      </c>
      <c r="G184" s="1250">
        <v>13000000</v>
      </c>
      <c r="H184" s="1275"/>
      <c r="I184" s="1233"/>
      <c r="J184" s="49" t="s">
        <v>677</v>
      </c>
      <c r="K184" s="49" t="s">
        <v>677</v>
      </c>
      <c r="L184" s="49"/>
      <c r="M184" s="1250">
        <v>13000000</v>
      </c>
      <c r="N184" s="1233"/>
      <c r="O184" s="1234" t="s">
        <v>2328</v>
      </c>
    </row>
    <row r="185" spans="1:15" ht="51">
      <c r="A185" s="1235"/>
      <c r="B185" s="1831"/>
      <c r="C185" s="1238" t="s">
        <v>2622</v>
      </c>
      <c r="D185" s="1237" t="s">
        <v>2450</v>
      </c>
      <c r="E185" s="1233"/>
      <c r="F185" s="1237" t="s">
        <v>2633</v>
      </c>
      <c r="G185" s="1250">
        <v>13000000</v>
      </c>
      <c r="H185" s="1275"/>
      <c r="I185" s="1233"/>
      <c r="J185" s="49" t="s">
        <v>677</v>
      </c>
      <c r="K185" s="49" t="s">
        <v>677</v>
      </c>
      <c r="L185" s="49"/>
      <c r="M185" s="1250">
        <v>13000000</v>
      </c>
      <c r="N185" s="1233"/>
      <c r="O185" s="1234" t="s">
        <v>2328</v>
      </c>
    </row>
    <row r="186" spans="1:15" ht="38.25">
      <c r="A186" s="1235"/>
      <c r="B186" s="1831"/>
      <c r="C186" s="1238" t="s">
        <v>2622</v>
      </c>
      <c r="D186" s="1237" t="s">
        <v>2418</v>
      </c>
      <c r="E186" s="1233"/>
      <c r="F186" s="1237" t="s">
        <v>2634</v>
      </c>
      <c r="G186" s="1250">
        <v>13000000</v>
      </c>
      <c r="H186" s="1275"/>
      <c r="I186" s="1233"/>
      <c r="J186" s="49" t="s">
        <v>677</v>
      </c>
      <c r="K186" s="49" t="s">
        <v>677</v>
      </c>
      <c r="L186" s="49"/>
      <c r="M186" s="1250">
        <v>13000000</v>
      </c>
      <c r="N186" s="1233"/>
      <c r="O186" s="1234" t="s">
        <v>2328</v>
      </c>
    </row>
    <row r="187" spans="1:15" ht="38.25">
      <c r="A187" s="1235"/>
      <c r="B187" s="1831"/>
      <c r="C187" s="1238" t="s">
        <v>2622</v>
      </c>
      <c r="D187" s="1237" t="s">
        <v>2436</v>
      </c>
      <c r="E187" s="1233"/>
      <c r="F187" s="1237" t="s">
        <v>2635</v>
      </c>
      <c r="G187" s="1250">
        <v>13000000</v>
      </c>
      <c r="H187" s="1275"/>
      <c r="I187" s="1233"/>
      <c r="J187" s="49" t="s">
        <v>677</v>
      </c>
      <c r="K187" s="49" t="s">
        <v>677</v>
      </c>
      <c r="L187" s="49"/>
      <c r="M187" s="1250">
        <v>13000000</v>
      </c>
      <c r="N187" s="1233"/>
      <c r="O187" s="1234" t="s">
        <v>2328</v>
      </c>
    </row>
    <row r="188" spans="1:15">
      <c r="A188" s="1272">
        <v>123608001</v>
      </c>
      <c r="B188" s="1830" t="s">
        <v>76</v>
      </c>
      <c r="C188" s="1830"/>
      <c r="D188" s="1240"/>
      <c r="E188" s="1230"/>
      <c r="F188" s="1230"/>
      <c r="G188" s="1231">
        <v>261368815</v>
      </c>
      <c r="H188" s="1076"/>
      <c r="I188" s="1233"/>
      <c r="J188" s="49" t="s">
        <v>677</v>
      </c>
      <c r="K188" s="49" t="s">
        <v>677</v>
      </c>
      <c r="L188" s="49"/>
      <c r="M188" s="1231">
        <v>261368815</v>
      </c>
      <c r="N188" s="1233"/>
      <c r="O188" s="1233"/>
    </row>
    <row r="189" spans="1:15" ht="89.25">
      <c r="A189" s="1235">
        <v>123608001000001</v>
      </c>
      <c r="B189" s="1828" t="s">
        <v>77</v>
      </c>
      <c r="C189" s="1229" t="s">
        <v>77</v>
      </c>
      <c r="D189" s="1249"/>
      <c r="E189" s="1230"/>
      <c r="F189" s="1229" t="s">
        <v>597</v>
      </c>
      <c r="G189" s="1231">
        <f>SUM(G190:G199)</f>
        <v>441000000</v>
      </c>
      <c r="H189" s="1076"/>
      <c r="I189" s="1233"/>
      <c r="J189" s="49" t="s">
        <v>677</v>
      </c>
      <c r="K189" s="49" t="s">
        <v>677</v>
      </c>
      <c r="L189" s="49"/>
      <c r="M189" s="1231">
        <f>SUM(M190:M199)</f>
        <v>476785778</v>
      </c>
      <c r="N189" s="1233"/>
      <c r="O189" s="1233"/>
    </row>
    <row r="190" spans="1:15" ht="63.75">
      <c r="A190" s="1235"/>
      <c r="B190" s="1828"/>
      <c r="C190" s="1237" t="s">
        <v>2636</v>
      </c>
      <c r="D190" s="1238" t="s">
        <v>685</v>
      </c>
      <c r="E190" s="1233"/>
      <c r="F190" s="1237" t="s">
        <v>2637</v>
      </c>
      <c r="G190" s="1250">
        <v>80000000</v>
      </c>
      <c r="H190" s="1076"/>
      <c r="I190" s="1233"/>
      <c r="J190" s="49" t="s">
        <v>677</v>
      </c>
      <c r="K190" s="49" t="s">
        <v>677</v>
      </c>
      <c r="L190" s="49"/>
      <c r="M190" s="1250">
        <v>80000000</v>
      </c>
      <c r="N190" s="1233"/>
      <c r="O190" s="1234" t="s">
        <v>2328</v>
      </c>
    </row>
    <row r="191" spans="1:15" ht="51">
      <c r="A191" s="1235"/>
      <c r="B191" s="1828"/>
      <c r="C191" s="1278" t="s">
        <v>2638</v>
      </c>
      <c r="D191" s="1238" t="s">
        <v>2639</v>
      </c>
      <c r="E191" s="1233"/>
      <c r="F191" s="1237" t="s">
        <v>2640</v>
      </c>
      <c r="G191" s="1250">
        <v>20000000</v>
      </c>
      <c r="H191" s="1076"/>
      <c r="I191" s="1233"/>
      <c r="J191" s="49" t="s">
        <v>677</v>
      </c>
      <c r="K191" s="49" t="s">
        <v>677</v>
      </c>
      <c r="L191" s="49" t="s">
        <v>90</v>
      </c>
      <c r="M191" s="1250">
        <v>54765607</v>
      </c>
      <c r="N191" s="49" t="s">
        <v>14</v>
      </c>
      <c r="O191" s="1243" t="s">
        <v>2342</v>
      </c>
    </row>
    <row r="192" spans="1:15" ht="76.5">
      <c r="A192" s="1235"/>
      <c r="B192" s="1828"/>
      <c r="C192" s="1237" t="s">
        <v>2641</v>
      </c>
      <c r="D192" s="1238" t="s">
        <v>740</v>
      </c>
      <c r="E192" s="1233"/>
      <c r="F192" s="1237" t="s">
        <v>2642</v>
      </c>
      <c r="G192" s="1250">
        <v>65000000</v>
      </c>
      <c r="H192" s="1076" t="s">
        <v>91</v>
      </c>
      <c r="I192" s="1233"/>
      <c r="J192" s="49" t="s">
        <v>677</v>
      </c>
      <c r="K192" s="49" t="s">
        <v>677</v>
      </c>
      <c r="L192" s="1076" t="s">
        <v>70</v>
      </c>
      <c r="M192" s="1250">
        <v>56655331</v>
      </c>
      <c r="N192" s="49" t="s">
        <v>14</v>
      </c>
      <c r="O192" s="1243" t="s">
        <v>2342</v>
      </c>
    </row>
    <row r="193" spans="1:15" ht="114.75">
      <c r="A193" s="1235"/>
      <c r="B193" s="1828"/>
      <c r="C193" s="1237" t="s">
        <v>2643</v>
      </c>
      <c r="D193" s="1238" t="s">
        <v>424</v>
      </c>
      <c r="E193" s="1233"/>
      <c r="F193" s="1237" t="s">
        <v>2644</v>
      </c>
      <c r="G193" s="1250">
        <v>40000000</v>
      </c>
      <c r="H193" s="1076"/>
      <c r="I193" s="1233"/>
      <c r="J193" s="49" t="s">
        <v>677</v>
      </c>
      <c r="K193" s="49" t="s">
        <v>677</v>
      </c>
      <c r="L193" s="49" t="s">
        <v>90</v>
      </c>
      <c r="M193" s="1250">
        <v>49364840</v>
      </c>
      <c r="N193" s="49" t="s">
        <v>14</v>
      </c>
      <c r="O193" s="1243" t="s">
        <v>2342</v>
      </c>
    </row>
    <row r="194" spans="1:15" ht="51">
      <c r="A194" s="1235"/>
      <c r="B194" s="1828"/>
      <c r="C194" s="1237" t="s">
        <v>2645</v>
      </c>
      <c r="D194" s="1829" t="s">
        <v>389</v>
      </c>
      <c r="E194" s="1233"/>
      <c r="F194" s="1237" t="s">
        <v>2646</v>
      </c>
      <c r="G194" s="1250">
        <v>3000000</v>
      </c>
      <c r="H194" s="1076"/>
      <c r="I194" s="1233"/>
      <c r="J194" s="49" t="s">
        <v>677</v>
      </c>
      <c r="K194" s="49" t="s">
        <v>677</v>
      </c>
      <c r="L194" s="49"/>
      <c r="M194" s="1250">
        <v>3000000</v>
      </c>
      <c r="N194" s="1233"/>
      <c r="O194" s="1234" t="s">
        <v>2328</v>
      </c>
    </row>
    <row r="195" spans="1:15" ht="63.75">
      <c r="A195" s="1235"/>
      <c r="B195" s="1828"/>
      <c r="C195" s="1237" t="s">
        <v>2647</v>
      </c>
      <c r="D195" s="1829"/>
      <c r="E195" s="1233"/>
      <c r="F195" s="1237" t="s">
        <v>2648</v>
      </c>
      <c r="G195" s="1250">
        <v>60000000</v>
      </c>
      <c r="H195" s="1076"/>
      <c r="I195" s="1233"/>
      <c r="J195" s="49" t="s">
        <v>677</v>
      </c>
      <c r="K195" s="49" t="s">
        <v>677</v>
      </c>
      <c r="L195" s="49"/>
      <c r="M195" s="1250">
        <v>60000000</v>
      </c>
      <c r="N195" s="1233"/>
      <c r="O195" s="1234" t="s">
        <v>2328</v>
      </c>
    </row>
    <row r="196" spans="1:15" ht="102">
      <c r="A196" s="1235"/>
      <c r="B196" s="1828"/>
      <c r="C196" s="1237" t="s">
        <v>2649</v>
      </c>
      <c r="D196" s="1829" t="s">
        <v>2418</v>
      </c>
      <c r="E196" s="1233"/>
      <c r="F196" s="1237" t="s">
        <v>2650</v>
      </c>
      <c r="G196" s="1250">
        <v>100000000</v>
      </c>
      <c r="H196" s="1076"/>
      <c r="I196" s="1233"/>
      <c r="J196" s="49" t="s">
        <v>677</v>
      </c>
      <c r="K196" s="49" t="s">
        <v>677</v>
      </c>
      <c r="L196" s="49"/>
      <c r="M196" s="1250">
        <v>100000000</v>
      </c>
      <c r="N196" s="1233"/>
      <c r="O196" s="1234" t="s">
        <v>2328</v>
      </c>
    </row>
    <row r="197" spans="1:15" ht="51">
      <c r="A197" s="1235"/>
      <c r="B197" s="1828"/>
      <c r="C197" s="1237" t="s">
        <v>2651</v>
      </c>
      <c r="D197" s="1829"/>
      <c r="E197" s="1233"/>
      <c r="F197" s="1237" t="s">
        <v>2652</v>
      </c>
      <c r="G197" s="1250">
        <v>20000000</v>
      </c>
      <c r="H197" s="1076"/>
      <c r="I197" s="1233"/>
      <c r="J197" s="49" t="s">
        <v>677</v>
      </c>
      <c r="K197" s="49" t="s">
        <v>677</v>
      </c>
      <c r="L197" s="49"/>
      <c r="M197" s="1250">
        <v>20000000</v>
      </c>
      <c r="N197" s="1233"/>
      <c r="O197" s="1234" t="s">
        <v>2328</v>
      </c>
    </row>
    <row r="198" spans="1:15" ht="38.25">
      <c r="A198" s="1235"/>
      <c r="B198" s="1828"/>
      <c r="C198" s="1237" t="s">
        <v>2638</v>
      </c>
      <c r="D198" s="1238" t="s">
        <v>2653</v>
      </c>
      <c r="E198" s="1233"/>
      <c r="F198" s="1237" t="s">
        <v>2654</v>
      </c>
      <c r="G198" s="1250">
        <v>35000000</v>
      </c>
      <c r="H198" s="1076"/>
      <c r="I198" s="1233"/>
      <c r="J198" s="49" t="s">
        <v>677</v>
      </c>
      <c r="K198" s="49" t="s">
        <v>677</v>
      </c>
      <c r="L198" s="49"/>
      <c r="M198" s="1250">
        <v>35000000</v>
      </c>
      <c r="N198" s="1233"/>
      <c r="O198" s="1234" t="s">
        <v>2328</v>
      </c>
    </row>
    <row r="199" spans="1:15" ht="76.5">
      <c r="A199" s="1235"/>
      <c r="B199" s="1828"/>
      <c r="C199" s="1237" t="s">
        <v>2655</v>
      </c>
      <c r="D199" s="1238" t="s">
        <v>2496</v>
      </c>
      <c r="E199" s="1233"/>
      <c r="F199" s="1237" t="s">
        <v>2656</v>
      </c>
      <c r="G199" s="1250">
        <v>18000000</v>
      </c>
      <c r="H199" s="1076"/>
      <c r="I199" s="1233"/>
      <c r="J199" s="49" t="s">
        <v>677</v>
      </c>
      <c r="K199" s="49" t="s">
        <v>677</v>
      </c>
      <c r="L199" s="49"/>
      <c r="M199" s="1250">
        <v>18000000</v>
      </c>
      <c r="N199" s="1233"/>
      <c r="O199" s="1234" t="s">
        <v>2328</v>
      </c>
    </row>
    <row r="200" spans="1:15">
      <c r="A200" s="1272">
        <v>450608001</v>
      </c>
      <c r="B200" s="1830" t="s">
        <v>226</v>
      </c>
      <c r="C200" s="1830"/>
      <c r="D200" s="1240"/>
      <c r="E200" s="1230"/>
      <c r="F200" s="1229" t="s">
        <v>73</v>
      </c>
      <c r="G200" s="1231"/>
      <c r="H200" s="1076"/>
      <c r="I200" s="1233"/>
      <c r="J200" s="49" t="s">
        <v>677</v>
      </c>
      <c r="K200" s="49" t="s">
        <v>677</v>
      </c>
      <c r="L200" s="49"/>
      <c r="M200" s="1231"/>
      <c r="N200" s="1233"/>
      <c r="O200" s="1233"/>
    </row>
    <row r="201" spans="1:15" ht="76.5">
      <c r="A201" s="1235">
        <v>450608001000001</v>
      </c>
      <c r="B201" s="811" t="s">
        <v>2657</v>
      </c>
      <c r="C201" s="1279"/>
      <c r="D201" s="1280" t="s">
        <v>83</v>
      </c>
      <c r="E201" s="1233"/>
      <c r="F201" s="1279" t="s">
        <v>2658</v>
      </c>
      <c r="G201" s="1250">
        <v>15000000</v>
      </c>
      <c r="H201" s="1076"/>
      <c r="I201" s="1233"/>
      <c r="J201" s="49" t="s">
        <v>677</v>
      </c>
      <c r="K201" s="49" t="s">
        <v>677</v>
      </c>
      <c r="L201" s="49"/>
      <c r="M201" s="1250">
        <v>15000000</v>
      </c>
      <c r="N201" s="1233"/>
      <c r="O201" s="1234" t="s">
        <v>2328</v>
      </c>
    </row>
    <row r="202" spans="1:15" ht="76.5">
      <c r="A202" s="1235">
        <v>450608001000003</v>
      </c>
      <c r="B202" s="1281" t="s">
        <v>2659</v>
      </c>
      <c r="C202" s="1237" t="s">
        <v>2660</v>
      </c>
      <c r="D202" s="1238" t="s">
        <v>83</v>
      </c>
      <c r="E202" s="1233"/>
      <c r="F202" s="1237" t="s">
        <v>2661</v>
      </c>
      <c r="G202" s="1250">
        <v>50000000</v>
      </c>
      <c r="H202" s="1076"/>
      <c r="I202" s="1233"/>
      <c r="J202" s="49" t="s">
        <v>677</v>
      </c>
      <c r="K202" s="49" t="s">
        <v>677</v>
      </c>
      <c r="L202" s="49"/>
      <c r="M202" s="1250">
        <v>50000000</v>
      </c>
      <c r="N202" s="1233"/>
      <c r="O202" s="1234" t="s">
        <v>2328</v>
      </c>
    </row>
    <row r="203" spans="1:15" ht="25.5">
      <c r="A203" s="1235"/>
      <c r="B203" s="811" t="s">
        <v>2662</v>
      </c>
      <c r="C203" s="1282"/>
      <c r="D203" s="1283"/>
      <c r="E203" s="1233"/>
      <c r="F203" s="1282"/>
      <c r="G203" s="1231">
        <f>SUM(G200+G188+G141+G28+G8+G10)</f>
        <v>3749807631</v>
      </c>
      <c r="H203" s="1284"/>
      <c r="I203" s="1233"/>
      <c r="J203" s="49"/>
      <c r="K203" s="49"/>
      <c r="L203" s="49"/>
      <c r="M203" s="1231">
        <f>SUM(M200+M188+M141+M28+M8+M10)</f>
        <v>3749807631</v>
      </c>
      <c r="N203" s="1233"/>
      <c r="O203" s="1233"/>
    </row>
    <row r="204" spans="1:15">
      <c r="A204" s="1822" t="s">
        <v>307</v>
      </c>
      <c r="B204" s="1822"/>
      <c r="C204" s="1822"/>
      <c r="D204" s="1822"/>
      <c r="E204" s="1822"/>
      <c r="F204" s="1822"/>
      <c r="G204" s="1822"/>
      <c r="H204" s="1822"/>
      <c r="I204" s="1822"/>
      <c r="J204" s="1822"/>
      <c r="K204" s="1822"/>
      <c r="L204" s="1822"/>
      <c r="M204" s="1822"/>
      <c r="N204" s="1822"/>
      <c r="O204" s="1822"/>
    </row>
    <row r="205" spans="1:15">
      <c r="A205" s="1822" t="s">
        <v>308</v>
      </c>
      <c r="B205" s="1822"/>
      <c r="C205" s="1822"/>
      <c r="D205" s="1822"/>
      <c r="E205" s="1822"/>
      <c r="F205" s="1822"/>
      <c r="G205" s="1822"/>
      <c r="H205" s="1822"/>
      <c r="I205" s="1822"/>
      <c r="J205" s="1822"/>
      <c r="K205" s="1822"/>
      <c r="L205" s="1822"/>
      <c r="M205" s="1822"/>
      <c r="N205" s="1822"/>
      <c r="O205" s="1822"/>
    </row>
    <row r="206" spans="1:15">
      <c r="A206" s="1822" t="s">
        <v>2663</v>
      </c>
      <c r="B206" s="1822"/>
      <c r="C206" s="1822"/>
      <c r="D206" s="1822"/>
      <c r="E206" s="1822"/>
      <c r="F206" s="1822"/>
      <c r="G206" s="1822"/>
      <c r="H206" s="1822"/>
      <c r="I206" s="1822"/>
      <c r="J206" s="1822"/>
      <c r="K206" s="1822"/>
      <c r="L206" s="1822"/>
      <c r="M206" s="1822"/>
      <c r="N206" s="1822"/>
      <c r="O206" s="1822"/>
    </row>
    <row r="207" spans="1:15">
      <c r="A207" s="1553" t="s">
        <v>48</v>
      </c>
      <c r="B207" s="1553" t="s">
        <v>49</v>
      </c>
      <c r="C207" s="1553"/>
      <c r="D207" s="1553" t="s">
        <v>229</v>
      </c>
      <c r="E207" s="1553" t="s">
        <v>230</v>
      </c>
      <c r="F207" s="1553" t="s">
        <v>131</v>
      </c>
      <c r="G207" s="1823" t="s">
        <v>231</v>
      </c>
      <c r="H207" s="1553" t="s">
        <v>232</v>
      </c>
      <c r="I207" s="1553" t="s">
        <v>233</v>
      </c>
      <c r="J207" s="1553" t="s">
        <v>234</v>
      </c>
      <c r="K207" s="1553"/>
      <c r="L207" s="1553"/>
      <c r="M207" s="1553"/>
      <c r="N207" s="1824" t="s">
        <v>1323</v>
      </c>
      <c r="O207" s="1824"/>
    </row>
    <row r="208" spans="1:15">
      <c r="A208" s="1553"/>
      <c r="B208" s="1553"/>
      <c r="C208" s="1553"/>
      <c r="D208" s="1553"/>
      <c r="E208" s="1553"/>
      <c r="F208" s="1553"/>
      <c r="G208" s="1823"/>
      <c r="H208" s="1553"/>
      <c r="I208" s="1553"/>
      <c r="J208" s="1553"/>
      <c r="K208" s="1553"/>
      <c r="L208" s="1553"/>
      <c r="M208" s="1553"/>
      <c r="N208" s="1824"/>
      <c r="O208" s="1824"/>
    </row>
    <row r="209" spans="1:15">
      <c r="A209" s="1553"/>
      <c r="B209" s="1553"/>
      <c r="C209" s="1553"/>
      <c r="D209" s="1553"/>
      <c r="E209" s="1553"/>
      <c r="F209" s="1553"/>
      <c r="G209" s="1823"/>
      <c r="H209" s="1553"/>
      <c r="I209" s="1553"/>
      <c r="J209" s="1825" t="s">
        <v>236</v>
      </c>
      <c r="K209" s="1825"/>
      <c r="L209" s="1726" t="s">
        <v>237</v>
      </c>
      <c r="M209" s="1726"/>
      <c r="N209" s="1824"/>
      <c r="O209" s="1824"/>
    </row>
    <row r="210" spans="1:15">
      <c r="A210" s="1553"/>
      <c r="B210" s="1553"/>
      <c r="C210" s="1553"/>
      <c r="D210" s="1553"/>
      <c r="E210" s="1189" t="s">
        <v>238</v>
      </c>
      <c r="F210" s="1553"/>
      <c r="G210" s="1823"/>
      <c r="H210" s="1553"/>
      <c r="I210" s="1553"/>
      <c r="J210" s="1285" t="s">
        <v>239</v>
      </c>
      <c r="K210" s="1285" t="s">
        <v>240</v>
      </c>
      <c r="L210" s="1285" t="s">
        <v>239</v>
      </c>
      <c r="M210" s="1285" t="s">
        <v>240</v>
      </c>
      <c r="N210" s="608" t="s">
        <v>18</v>
      </c>
      <c r="O210" s="1286" t="s">
        <v>71</v>
      </c>
    </row>
    <row r="211" spans="1:15" ht="51">
      <c r="A211" s="1287">
        <v>213608001</v>
      </c>
      <c r="B211" s="1241" t="s">
        <v>2664</v>
      </c>
      <c r="C211" s="1240"/>
      <c r="D211" s="1240"/>
      <c r="E211" s="49"/>
      <c r="F211" s="1243"/>
      <c r="G211" s="1231">
        <f>SUM(G212:G213)</f>
        <v>100000000</v>
      </c>
      <c r="H211" s="1288"/>
      <c r="I211" s="1233"/>
      <c r="J211" s="49" t="s">
        <v>677</v>
      </c>
      <c r="K211" s="49" t="s">
        <v>677</v>
      </c>
      <c r="L211" s="1233"/>
      <c r="M211" s="1233"/>
      <c r="N211" s="1233"/>
      <c r="O211" s="1233"/>
    </row>
    <row r="212" spans="1:15" ht="255">
      <c r="A212" s="1289">
        <v>213608001000001</v>
      </c>
      <c r="B212" s="1243"/>
      <c r="C212" s="1237" t="s">
        <v>2665</v>
      </c>
      <c r="D212" s="1238" t="s">
        <v>83</v>
      </c>
      <c r="E212" s="1233"/>
      <c r="F212" s="1237" t="s">
        <v>2666</v>
      </c>
      <c r="G212" s="1239">
        <v>63084464</v>
      </c>
      <c r="H212" s="1288"/>
      <c r="I212" s="1233"/>
      <c r="J212" s="49" t="s">
        <v>677</v>
      </c>
      <c r="K212" s="49" t="s">
        <v>677</v>
      </c>
      <c r="L212" s="1233" t="s">
        <v>91</v>
      </c>
      <c r="M212" s="1245">
        <v>44525092</v>
      </c>
      <c r="N212" s="49" t="s">
        <v>14</v>
      </c>
      <c r="O212" s="1243" t="s">
        <v>2342</v>
      </c>
    </row>
    <row r="213" spans="1:15" ht="204">
      <c r="A213" s="1290">
        <v>213608001000002</v>
      </c>
      <c r="B213" s="1243"/>
      <c r="C213" s="1237" t="s">
        <v>2667</v>
      </c>
      <c r="D213" s="1238" t="s">
        <v>83</v>
      </c>
      <c r="E213" s="49"/>
      <c r="F213" s="1243" t="s">
        <v>2668</v>
      </c>
      <c r="G213" s="1239">
        <v>36915536</v>
      </c>
      <c r="H213" s="1288"/>
      <c r="I213" s="1233"/>
      <c r="J213" s="49" t="s">
        <v>677</v>
      </c>
      <c r="K213" s="49" t="s">
        <v>677</v>
      </c>
      <c r="L213" s="1233" t="s">
        <v>91</v>
      </c>
      <c r="M213" s="1245">
        <v>35088608</v>
      </c>
      <c r="N213" s="49" t="s">
        <v>14</v>
      </c>
      <c r="O213" s="1243" t="s">
        <v>2342</v>
      </c>
    </row>
    <row r="214" spans="1:15" ht="63.75">
      <c r="A214" s="1291">
        <v>213608007</v>
      </c>
      <c r="B214" s="1292" t="s">
        <v>2669</v>
      </c>
      <c r="C214" s="1241"/>
      <c r="D214" s="1229"/>
      <c r="E214" s="49"/>
      <c r="F214" s="1243"/>
      <c r="G214" s="1231">
        <v>202503406</v>
      </c>
      <c r="H214" s="1288"/>
      <c r="I214" s="1233"/>
      <c r="J214" s="49" t="s">
        <v>677</v>
      </c>
      <c r="K214" s="49" t="s">
        <v>677</v>
      </c>
      <c r="L214" s="1233"/>
      <c r="M214" s="1233"/>
      <c r="N214" s="1233"/>
      <c r="O214" s="1233"/>
    </row>
    <row r="215" spans="1:15" ht="76.5">
      <c r="A215" s="1293">
        <v>213608007000002</v>
      </c>
      <c r="B215" s="1274"/>
      <c r="C215" s="1237" t="s">
        <v>2670</v>
      </c>
      <c r="D215" s="1238" t="s">
        <v>389</v>
      </c>
      <c r="E215" s="49"/>
      <c r="F215" s="1243" t="s">
        <v>2671</v>
      </c>
      <c r="G215" s="1250">
        <v>15344159</v>
      </c>
      <c r="H215" s="1288"/>
      <c r="I215" s="1233"/>
      <c r="J215" s="49" t="s">
        <v>677</v>
      </c>
      <c r="K215" s="49" t="s">
        <v>677</v>
      </c>
      <c r="L215" s="1244" t="s">
        <v>70</v>
      </c>
      <c r="M215" s="1294">
        <v>8665200</v>
      </c>
      <c r="N215" s="49" t="s">
        <v>14</v>
      </c>
      <c r="O215" s="1243" t="s">
        <v>2342</v>
      </c>
    </row>
    <row r="216" spans="1:15" ht="15.75">
      <c r="A216" s="1293">
        <v>213608007000004</v>
      </c>
      <c r="B216" s="1274"/>
      <c r="C216" s="1237" t="s">
        <v>2672</v>
      </c>
      <c r="D216" s="1238"/>
      <c r="E216" s="49"/>
      <c r="F216" s="1243"/>
      <c r="G216" s="1250"/>
      <c r="H216" s="1288"/>
      <c r="I216" s="1233"/>
      <c r="J216" s="49" t="s">
        <v>677</v>
      </c>
      <c r="K216" s="49" t="s">
        <v>677</v>
      </c>
      <c r="L216" s="1233"/>
      <c r="M216" s="1233"/>
      <c r="N216" s="1233"/>
      <c r="O216" s="1234" t="s">
        <v>2328</v>
      </c>
    </row>
    <row r="217" spans="1:15" ht="191.25">
      <c r="A217" s="1293">
        <v>2.13608007000006E+16</v>
      </c>
      <c r="B217" s="1274"/>
      <c r="C217" s="1237" t="s">
        <v>2673</v>
      </c>
      <c r="D217" s="1238" t="s">
        <v>83</v>
      </c>
      <c r="E217" s="49"/>
      <c r="F217" s="1243" t="s">
        <v>2674</v>
      </c>
      <c r="G217" s="1250"/>
      <c r="H217" s="1295"/>
      <c r="I217" s="1233"/>
      <c r="J217" s="49" t="s">
        <v>677</v>
      </c>
      <c r="K217" s="49" t="s">
        <v>677</v>
      </c>
      <c r="L217" s="1244" t="s">
        <v>90</v>
      </c>
      <c r="M217" s="1294">
        <v>59076208</v>
      </c>
      <c r="N217" s="49" t="s">
        <v>14</v>
      </c>
      <c r="O217" s="1243" t="s">
        <v>2342</v>
      </c>
    </row>
    <row r="218" spans="1:15" ht="89.25">
      <c r="A218" s="1293"/>
      <c r="B218" s="1274"/>
      <c r="C218" s="1237" t="s">
        <v>2675</v>
      </c>
      <c r="D218" s="1238"/>
      <c r="E218" s="49"/>
      <c r="F218" s="1243"/>
      <c r="G218" s="1250">
        <v>63400000</v>
      </c>
      <c r="H218" s="1295"/>
      <c r="I218" s="1233"/>
      <c r="J218" s="49" t="s">
        <v>677</v>
      </c>
      <c r="K218" s="49" t="s">
        <v>677</v>
      </c>
      <c r="L218" s="1233"/>
      <c r="M218" s="1233"/>
      <c r="N218" s="1233"/>
      <c r="O218" s="1234" t="s">
        <v>2328</v>
      </c>
    </row>
    <row r="219" spans="1:15" ht="89.25">
      <c r="A219" s="1291">
        <v>213608010</v>
      </c>
      <c r="B219" s="1292" t="s">
        <v>2676</v>
      </c>
      <c r="C219" s="1241"/>
      <c r="D219" s="1229"/>
      <c r="E219" s="49"/>
      <c r="F219" s="1243"/>
      <c r="G219" s="1231">
        <v>1058605523</v>
      </c>
      <c r="H219" s="1295"/>
      <c r="I219" s="1233"/>
      <c r="J219" s="49" t="s">
        <v>677</v>
      </c>
      <c r="K219" s="49" t="s">
        <v>677</v>
      </c>
      <c r="L219" s="1233"/>
      <c r="M219" s="1233"/>
      <c r="N219" s="1233"/>
      <c r="O219" s="1233"/>
    </row>
    <row r="220" spans="1:15" ht="76.5">
      <c r="A220" s="1293">
        <v>213608010000004</v>
      </c>
      <c r="B220" s="1274"/>
      <c r="C220" s="1237" t="s">
        <v>2677</v>
      </c>
      <c r="D220" s="1238"/>
      <c r="E220" s="49"/>
      <c r="F220" s="1243"/>
      <c r="G220" s="1250"/>
      <c r="H220" s="1295"/>
      <c r="I220" s="1233"/>
      <c r="J220" s="49" t="s">
        <v>677</v>
      </c>
      <c r="K220" s="49" t="s">
        <v>677</v>
      </c>
      <c r="L220" s="1233"/>
      <c r="M220" s="1233"/>
      <c r="N220" s="1233"/>
      <c r="O220" s="1234" t="s">
        <v>2328</v>
      </c>
    </row>
    <row r="221" spans="1:15" ht="140.25">
      <c r="A221" s="1293">
        <v>213608010000004</v>
      </c>
      <c r="B221" s="1274"/>
      <c r="C221" s="1237" t="s">
        <v>2678</v>
      </c>
      <c r="D221" s="1238"/>
      <c r="E221" s="49"/>
      <c r="F221" s="1237" t="s">
        <v>2678</v>
      </c>
      <c r="G221" s="1250"/>
      <c r="H221" s="1295"/>
      <c r="I221" s="1233"/>
      <c r="J221" s="49" t="s">
        <v>677</v>
      </c>
      <c r="K221" s="49" t="s">
        <v>677</v>
      </c>
      <c r="L221" s="1244" t="s">
        <v>70</v>
      </c>
      <c r="M221" s="1294">
        <v>126672000</v>
      </c>
      <c r="N221" s="49" t="s">
        <v>14</v>
      </c>
      <c r="O221" s="1243" t="s">
        <v>2342</v>
      </c>
    </row>
    <row r="222" spans="1:15" ht="267.75">
      <c r="A222" s="1293">
        <v>213608010000004</v>
      </c>
      <c r="B222" s="1274"/>
      <c r="C222" s="1237" t="s">
        <v>2679</v>
      </c>
      <c r="D222" s="1238"/>
      <c r="E222" s="49"/>
      <c r="F222" s="1237" t="s">
        <v>2679</v>
      </c>
      <c r="G222" s="1250"/>
      <c r="H222" s="1295"/>
      <c r="I222" s="1233"/>
      <c r="J222" s="49" t="s">
        <v>677</v>
      </c>
      <c r="K222" s="49" t="s">
        <v>677</v>
      </c>
      <c r="L222" s="1244" t="s">
        <v>90</v>
      </c>
      <c r="M222" s="1294">
        <v>32668059</v>
      </c>
      <c r="N222" s="49" t="s">
        <v>14</v>
      </c>
      <c r="O222" s="1243" t="s">
        <v>2342</v>
      </c>
    </row>
    <row r="223" spans="1:15" ht="357">
      <c r="A223" s="1293">
        <v>213608010000004</v>
      </c>
      <c r="B223" s="1274"/>
      <c r="C223" s="1237" t="s">
        <v>2680</v>
      </c>
      <c r="D223" s="1238"/>
      <c r="E223" s="49"/>
      <c r="F223" s="1237" t="s">
        <v>2681</v>
      </c>
      <c r="G223" s="1250"/>
      <c r="H223" s="1295"/>
      <c r="I223" s="1233"/>
      <c r="J223" s="49" t="s">
        <v>677</v>
      </c>
      <c r="K223" s="49" t="s">
        <v>677</v>
      </c>
      <c r="L223" s="1244" t="s">
        <v>70</v>
      </c>
      <c r="M223" s="1294">
        <v>62429165</v>
      </c>
      <c r="N223" s="49" t="s">
        <v>14</v>
      </c>
      <c r="O223" s="1243" t="s">
        <v>2342</v>
      </c>
    </row>
    <row r="224" spans="1:15" ht="255">
      <c r="A224" s="1293">
        <v>213608010000004</v>
      </c>
      <c r="B224" s="1274"/>
      <c r="C224" s="1237" t="s">
        <v>2682</v>
      </c>
      <c r="D224" s="1238"/>
      <c r="E224" s="49"/>
      <c r="F224" s="1237" t="s">
        <v>2683</v>
      </c>
      <c r="G224" s="1250"/>
      <c r="H224" s="1295"/>
      <c r="I224" s="1233"/>
      <c r="J224" s="49" t="s">
        <v>677</v>
      </c>
      <c r="K224" s="49" t="s">
        <v>677</v>
      </c>
      <c r="L224" s="1244" t="s">
        <v>79</v>
      </c>
      <c r="M224" s="1294">
        <v>62988000</v>
      </c>
      <c r="N224" s="49" t="s">
        <v>14</v>
      </c>
      <c r="O224" s="1243" t="s">
        <v>2342</v>
      </c>
    </row>
    <row r="225" spans="1:15" ht="191.25">
      <c r="A225" s="1293">
        <v>213608010000004</v>
      </c>
      <c r="B225" s="1274"/>
      <c r="C225" s="1237" t="s">
        <v>2684</v>
      </c>
      <c r="D225" s="1238"/>
      <c r="E225" s="49"/>
      <c r="F225" s="1237" t="s">
        <v>2684</v>
      </c>
      <c r="G225" s="1250"/>
      <c r="H225" s="1295"/>
      <c r="I225" s="1233"/>
      <c r="J225" s="49" t="s">
        <v>677</v>
      </c>
      <c r="K225" s="49" t="s">
        <v>677</v>
      </c>
      <c r="L225" s="1244" t="s">
        <v>90</v>
      </c>
      <c r="M225" s="1294">
        <v>59736436</v>
      </c>
      <c r="N225" s="49" t="s">
        <v>14</v>
      </c>
      <c r="O225" s="1243" t="s">
        <v>2342</v>
      </c>
    </row>
    <row r="226" spans="1:15" ht="15.75">
      <c r="A226" s="1290">
        <v>2.13608010000005E+16</v>
      </c>
      <c r="B226" s="1274"/>
      <c r="C226" s="1237"/>
      <c r="D226" s="1238"/>
      <c r="E226" s="49"/>
      <c r="F226" s="1243"/>
      <c r="G226" s="1250"/>
      <c r="H226" s="1295"/>
      <c r="I226" s="1233"/>
      <c r="J226" s="49" t="s">
        <v>677</v>
      </c>
      <c r="K226" s="49" t="s">
        <v>677</v>
      </c>
      <c r="L226" s="1233"/>
      <c r="M226" s="1233"/>
      <c r="N226" s="1233"/>
      <c r="O226" s="1234" t="s">
        <v>2328</v>
      </c>
    </row>
    <row r="227" spans="1:15" ht="38.25">
      <c r="A227" s="1293">
        <v>2.13608010000005E+16</v>
      </c>
      <c r="B227" s="1274"/>
      <c r="C227" s="1237" t="s">
        <v>2685</v>
      </c>
      <c r="D227" s="1238"/>
      <c r="E227" s="49"/>
      <c r="F227" s="1243"/>
      <c r="G227" s="1250"/>
      <c r="H227" s="1295"/>
      <c r="I227" s="1233"/>
      <c r="J227" s="49" t="s">
        <v>677</v>
      </c>
      <c r="K227" s="49" t="s">
        <v>677</v>
      </c>
      <c r="L227" s="1233"/>
      <c r="M227" s="1233"/>
      <c r="N227" s="1233"/>
      <c r="O227" s="1234" t="s">
        <v>2328</v>
      </c>
    </row>
    <row r="228" spans="1:15" ht="38.25">
      <c r="A228" s="1293">
        <v>2.13608010000005E+16</v>
      </c>
      <c r="B228" s="1274"/>
      <c r="C228" s="1237" t="s">
        <v>2686</v>
      </c>
      <c r="D228" s="1238"/>
      <c r="E228" s="49"/>
      <c r="F228" s="1243"/>
      <c r="G228" s="1250"/>
      <c r="H228" s="1295"/>
      <c r="I228" s="1233"/>
      <c r="J228" s="49" t="s">
        <v>677</v>
      </c>
      <c r="K228" s="49" t="s">
        <v>677</v>
      </c>
      <c r="L228" s="1233"/>
      <c r="M228" s="1233"/>
      <c r="N228" s="1233"/>
      <c r="O228" s="1234" t="s">
        <v>2328</v>
      </c>
    </row>
    <row r="229" spans="1:15" ht="63.75">
      <c r="A229" s="1293">
        <v>2.13608010000005E+16</v>
      </c>
      <c r="B229" s="1274"/>
      <c r="C229" s="1237" t="s">
        <v>2687</v>
      </c>
      <c r="D229" s="1238"/>
      <c r="E229" s="49"/>
      <c r="F229" s="1243"/>
      <c r="G229" s="1250"/>
      <c r="H229" s="1295"/>
      <c r="I229" s="1233"/>
      <c r="J229" s="49" t="s">
        <v>677</v>
      </c>
      <c r="K229" s="49" t="s">
        <v>677</v>
      </c>
      <c r="L229" s="1233"/>
      <c r="M229" s="1233"/>
      <c r="N229" s="1233"/>
      <c r="O229" s="1234" t="s">
        <v>2328</v>
      </c>
    </row>
    <row r="230" spans="1:15" ht="63.75">
      <c r="A230" s="1293">
        <v>2.13608010000005E+16</v>
      </c>
      <c r="B230" s="1274"/>
      <c r="C230" s="1237" t="s">
        <v>2688</v>
      </c>
      <c r="D230" s="1238"/>
      <c r="E230" s="49"/>
      <c r="F230" s="1243"/>
      <c r="G230" s="1250"/>
      <c r="H230" s="1295"/>
      <c r="I230" s="1233"/>
      <c r="J230" s="49" t="s">
        <v>677</v>
      </c>
      <c r="K230" s="49" t="s">
        <v>677</v>
      </c>
      <c r="L230" s="1233"/>
      <c r="M230" s="1233"/>
      <c r="N230" s="1233"/>
      <c r="O230" s="1234" t="s">
        <v>2328</v>
      </c>
    </row>
    <row r="231" spans="1:15" ht="15.75">
      <c r="A231" s="1293">
        <v>2.13608010000005E+16</v>
      </c>
      <c r="B231" s="1274"/>
      <c r="C231" s="1237" t="s">
        <v>2689</v>
      </c>
      <c r="D231" s="1238"/>
      <c r="E231" s="49"/>
      <c r="F231" s="1296"/>
      <c r="G231" s="1250"/>
      <c r="H231" s="1295"/>
      <c r="I231" s="1233"/>
      <c r="J231" s="49" t="s">
        <v>677</v>
      </c>
      <c r="K231" s="49" t="s">
        <v>677</v>
      </c>
      <c r="L231" s="1253"/>
      <c r="M231" s="1297"/>
      <c r="N231" s="1253"/>
      <c r="O231" s="1234" t="s">
        <v>2328</v>
      </c>
    </row>
    <row r="232" spans="1:15" ht="204">
      <c r="A232" s="1293">
        <v>213608010000006</v>
      </c>
      <c r="B232" s="1274"/>
      <c r="C232" s="1237" t="s">
        <v>2690</v>
      </c>
      <c r="D232" s="1238"/>
      <c r="E232" s="49"/>
      <c r="F232" s="1237" t="s">
        <v>2691</v>
      </c>
      <c r="G232" s="1250"/>
      <c r="H232" s="1295"/>
      <c r="I232" s="1233"/>
      <c r="J232" s="49" t="s">
        <v>677</v>
      </c>
      <c r="K232" s="49" t="s">
        <v>677</v>
      </c>
      <c r="L232" s="1244" t="s">
        <v>79</v>
      </c>
      <c r="M232" s="1294">
        <v>127368000</v>
      </c>
      <c r="N232" s="49" t="s">
        <v>14</v>
      </c>
      <c r="O232" s="1243" t="s">
        <v>2342</v>
      </c>
    </row>
    <row r="233" spans="1:15" ht="102">
      <c r="A233" s="1293">
        <v>213608010000007</v>
      </c>
      <c r="B233" s="1274"/>
      <c r="C233" s="1237" t="s">
        <v>2692</v>
      </c>
      <c r="D233" s="1238"/>
      <c r="E233" s="49"/>
      <c r="F233" s="1237" t="s">
        <v>2692</v>
      </c>
      <c r="G233" s="1250"/>
      <c r="H233" s="1295"/>
      <c r="I233" s="1233"/>
      <c r="J233" s="49" t="s">
        <v>677</v>
      </c>
      <c r="K233" s="49" t="s">
        <v>677</v>
      </c>
      <c r="L233" s="1244" t="s">
        <v>79</v>
      </c>
      <c r="M233" s="1294">
        <v>119480000</v>
      </c>
      <c r="N233" s="49" t="s">
        <v>14</v>
      </c>
      <c r="O233" s="1243" t="s">
        <v>2342</v>
      </c>
    </row>
    <row r="234" spans="1:15" ht="76.5">
      <c r="A234" s="1293"/>
      <c r="B234" s="1274"/>
      <c r="C234" s="1237" t="s">
        <v>2693</v>
      </c>
      <c r="D234" s="1238"/>
      <c r="E234" s="49"/>
      <c r="F234" s="1243"/>
      <c r="G234" s="1250">
        <v>63500000</v>
      </c>
      <c r="H234" s="1295"/>
      <c r="I234" s="1233"/>
      <c r="J234" s="49" t="s">
        <v>677</v>
      </c>
      <c r="K234" s="49" t="s">
        <v>677</v>
      </c>
      <c r="L234" s="1233"/>
      <c r="M234" s="1233"/>
      <c r="N234" s="1233"/>
      <c r="O234" s="1234" t="s">
        <v>2328</v>
      </c>
    </row>
    <row r="235" spans="1:15" ht="76.5">
      <c r="A235" s="1293"/>
      <c r="B235" s="1274"/>
      <c r="C235" s="1237" t="s">
        <v>2693</v>
      </c>
      <c r="D235" s="1238"/>
      <c r="E235" s="49"/>
      <c r="F235" s="1243"/>
      <c r="G235" s="1250">
        <v>63000000</v>
      </c>
      <c r="H235" s="1295"/>
      <c r="I235" s="1233"/>
      <c r="J235" s="49" t="s">
        <v>677</v>
      </c>
      <c r="K235" s="49" t="s">
        <v>677</v>
      </c>
      <c r="L235" s="1233"/>
      <c r="M235" s="1233"/>
      <c r="N235" s="1233"/>
      <c r="O235" s="1234" t="s">
        <v>2328</v>
      </c>
    </row>
    <row r="236" spans="1:15" ht="76.5">
      <c r="A236" s="1293"/>
      <c r="B236" s="1274"/>
      <c r="C236" s="1237" t="s">
        <v>2693</v>
      </c>
      <c r="D236" s="1238"/>
      <c r="E236" s="49"/>
      <c r="F236" s="1243"/>
      <c r="G236" s="1250">
        <v>90000000</v>
      </c>
      <c r="H236" s="1295"/>
      <c r="I236" s="1233"/>
      <c r="J236" s="49" t="s">
        <v>677</v>
      </c>
      <c r="K236" s="49" t="s">
        <v>677</v>
      </c>
      <c r="L236" s="1233"/>
      <c r="M236" s="1233"/>
      <c r="N236" s="1233"/>
      <c r="O236" s="1234" t="s">
        <v>2328</v>
      </c>
    </row>
    <row r="237" spans="1:15" ht="76.5">
      <c r="A237" s="1293"/>
      <c r="B237" s="1274"/>
      <c r="C237" s="1237" t="s">
        <v>2693</v>
      </c>
      <c r="D237" s="1238"/>
      <c r="E237" s="49"/>
      <c r="F237" s="1243"/>
      <c r="G237" s="1250">
        <v>63000000</v>
      </c>
      <c r="H237" s="1295"/>
      <c r="I237" s="1233"/>
      <c r="J237" s="49" t="s">
        <v>677</v>
      </c>
      <c r="K237" s="49" t="s">
        <v>677</v>
      </c>
      <c r="L237" s="1233"/>
      <c r="M237" s="1233"/>
      <c r="N237" s="1233"/>
      <c r="O237" s="1234" t="s">
        <v>2328</v>
      </c>
    </row>
    <row r="238" spans="1:15" ht="76.5">
      <c r="A238" s="1293"/>
      <c r="B238" s="1274"/>
      <c r="C238" s="1237" t="s">
        <v>2693</v>
      </c>
      <c r="D238" s="1238"/>
      <c r="E238" s="49"/>
      <c r="F238" s="1243"/>
      <c r="G238" s="1250">
        <v>15000000</v>
      </c>
      <c r="H238" s="1295"/>
      <c r="I238" s="1233"/>
      <c r="J238" s="49" t="s">
        <v>677</v>
      </c>
      <c r="K238" s="49" t="s">
        <v>677</v>
      </c>
      <c r="L238" s="1233"/>
      <c r="M238" s="1233"/>
      <c r="N238" s="1233"/>
      <c r="O238" s="1234" t="s">
        <v>2328</v>
      </c>
    </row>
    <row r="239" spans="1:15" ht="76.5">
      <c r="A239" s="1293"/>
      <c r="B239" s="1274"/>
      <c r="C239" s="1237" t="s">
        <v>2693</v>
      </c>
      <c r="D239" s="1238"/>
      <c r="E239" s="49"/>
      <c r="F239" s="1243"/>
      <c r="G239" s="1250">
        <v>63000000</v>
      </c>
      <c r="H239" s="1295"/>
      <c r="I239" s="1233"/>
      <c r="J239" s="49" t="s">
        <v>677</v>
      </c>
      <c r="K239" s="49" t="s">
        <v>677</v>
      </c>
      <c r="L239" s="1233"/>
      <c r="M239" s="1233"/>
      <c r="N239" s="1233"/>
      <c r="O239" s="1234" t="s">
        <v>2328</v>
      </c>
    </row>
    <row r="240" spans="1:15" ht="76.5">
      <c r="A240" s="1293"/>
      <c r="B240" s="1274"/>
      <c r="C240" s="1237" t="s">
        <v>2693</v>
      </c>
      <c r="D240" s="1238"/>
      <c r="E240" s="49"/>
      <c r="F240" s="1243"/>
      <c r="G240" s="1250">
        <v>128000000</v>
      </c>
      <c r="H240" s="1295"/>
      <c r="I240" s="1233"/>
      <c r="J240" s="49" t="s">
        <v>677</v>
      </c>
      <c r="K240" s="49" t="s">
        <v>677</v>
      </c>
      <c r="L240" s="1233"/>
      <c r="M240" s="1233"/>
      <c r="N240" s="1233"/>
      <c r="O240" s="1234" t="s">
        <v>2328</v>
      </c>
    </row>
    <row r="241" spans="1:15" ht="25.5">
      <c r="A241" s="1289"/>
      <c r="B241" s="1274"/>
      <c r="C241" s="1237" t="s">
        <v>2694</v>
      </c>
      <c r="D241" s="1238"/>
      <c r="E241" s="49"/>
      <c r="F241" s="1243"/>
      <c r="G241" s="1250">
        <v>63000000</v>
      </c>
      <c r="H241" s="1295"/>
      <c r="I241" s="1233"/>
      <c r="J241" s="49" t="s">
        <v>677</v>
      </c>
      <c r="K241" s="49" t="s">
        <v>677</v>
      </c>
      <c r="L241" s="1233"/>
      <c r="M241" s="1233"/>
      <c r="N241" s="1233"/>
      <c r="O241" s="1234" t="s">
        <v>2328</v>
      </c>
    </row>
    <row r="242" spans="1:15" ht="204">
      <c r="A242" s="1293" t="s">
        <v>2695</v>
      </c>
      <c r="B242" s="1274"/>
      <c r="C242" s="1826" t="s">
        <v>2696</v>
      </c>
      <c r="D242" s="1238"/>
      <c r="E242" s="49"/>
      <c r="F242" s="1243" t="s">
        <v>2697</v>
      </c>
      <c r="G242" s="1827">
        <v>128000000</v>
      </c>
      <c r="H242" s="1295"/>
      <c r="I242" s="1233"/>
      <c r="J242" s="49" t="s">
        <v>677</v>
      </c>
      <c r="K242" s="49" t="s">
        <v>677</v>
      </c>
      <c r="L242" s="1244" t="s">
        <v>91</v>
      </c>
      <c r="M242" s="1294">
        <v>62340500</v>
      </c>
      <c r="N242" s="49" t="s">
        <v>14</v>
      </c>
      <c r="O242" s="1243" t="s">
        <v>2342</v>
      </c>
    </row>
    <row r="243" spans="1:15" ht="165.75">
      <c r="A243" s="1293" t="s">
        <v>2695</v>
      </c>
      <c r="B243" s="1274"/>
      <c r="C243" s="1826"/>
      <c r="D243" s="1238"/>
      <c r="E243" s="49"/>
      <c r="F243" s="1243" t="s">
        <v>2698</v>
      </c>
      <c r="G243" s="1827"/>
      <c r="H243" s="1295"/>
      <c r="I243" s="1233"/>
      <c r="J243" s="49" t="s">
        <v>677</v>
      </c>
      <c r="K243" s="49" t="s">
        <v>677</v>
      </c>
      <c r="L243" s="1244" t="s">
        <v>91</v>
      </c>
      <c r="M243" s="1294">
        <v>62000000</v>
      </c>
      <c r="N243" s="49" t="s">
        <v>14</v>
      </c>
      <c r="O243" s="1243" t="s">
        <v>2342</v>
      </c>
    </row>
    <row r="244" spans="1:15" ht="89.25">
      <c r="A244" s="1293"/>
      <c r="B244" s="1274"/>
      <c r="C244" s="1237" t="s">
        <v>2699</v>
      </c>
      <c r="D244" s="1238"/>
      <c r="E244" s="49"/>
      <c r="F244" s="1243"/>
      <c r="G244" s="1250">
        <v>120000000</v>
      </c>
      <c r="H244" s="1295"/>
      <c r="I244" s="1233"/>
      <c r="J244" s="49" t="s">
        <v>677</v>
      </c>
      <c r="K244" s="49" t="s">
        <v>677</v>
      </c>
      <c r="L244" s="1233"/>
      <c r="M244" s="1233"/>
      <c r="N244" s="1233"/>
      <c r="O244" s="1234" t="s">
        <v>2328</v>
      </c>
    </row>
    <row r="245" spans="1:15" ht="89.25">
      <c r="A245" s="1293"/>
      <c r="B245" s="1274"/>
      <c r="C245" s="1237" t="s">
        <v>2699</v>
      </c>
      <c r="D245" s="1238"/>
      <c r="E245" s="49"/>
      <c r="F245" s="1243"/>
      <c r="G245" s="1250">
        <v>63000000</v>
      </c>
      <c r="H245" s="1295"/>
      <c r="I245" s="1233"/>
      <c r="J245" s="49" t="s">
        <v>677</v>
      </c>
      <c r="K245" s="49" t="s">
        <v>677</v>
      </c>
      <c r="L245" s="1233"/>
      <c r="M245" s="1233"/>
      <c r="N245" s="1233"/>
      <c r="O245" s="1234" t="s">
        <v>2328</v>
      </c>
    </row>
    <row r="246" spans="1:15" ht="51">
      <c r="A246" s="1293"/>
      <c r="B246" s="1274"/>
      <c r="C246" s="1237" t="s">
        <v>2700</v>
      </c>
      <c r="D246" s="1238"/>
      <c r="E246" s="49"/>
      <c r="F246" s="1243"/>
      <c r="G246" s="1250">
        <v>128500000</v>
      </c>
      <c r="H246" s="1295"/>
      <c r="I246" s="1233"/>
      <c r="J246" s="49" t="s">
        <v>677</v>
      </c>
      <c r="K246" s="49" t="s">
        <v>677</v>
      </c>
      <c r="L246" s="1233"/>
      <c r="M246" s="1233"/>
      <c r="N246" s="1233"/>
      <c r="O246" s="1234" t="s">
        <v>2328</v>
      </c>
    </row>
    <row r="247" spans="1:15" ht="63.75">
      <c r="A247" s="1291">
        <v>213608012</v>
      </c>
      <c r="B247" s="1292" t="s">
        <v>2701</v>
      </c>
      <c r="C247" s="1241"/>
      <c r="D247" s="1229"/>
      <c r="E247" s="49"/>
      <c r="F247" s="1243"/>
      <c r="G247" s="1231">
        <v>260000000</v>
      </c>
      <c r="H247" s="1295"/>
      <c r="I247" s="1233"/>
      <c r="J247" s="49" t="s">
        <v>677</v>
      </c>
      <c r="K247" s="49" t="s">
        <v>677</v>
      </c>
      <c r="L247" s="1233"/>
      <c r="M247" s="1233"/>
      <c r="N247" s="1233"/>
      <c r="O247" s="1234" t="s">
        <v>2328</v>
      </c>
    </row>
    <row r="248" spans="1:15" ht="127.5">
      <c r="A248" s="1293">
        <v>213608012000002</v>
      </c>
      <c r="B248" s="1274"/>
      <c r="C248" s="1237" t="s">
        <v>2702</v>
      </c>
      <c r="D248" s="1238"/>
      <c r="E248" s="49"/>
      <c r="F248" s="1237" t="s">
        <v>2702</v>
      </c>
      <c r="G248" s="1250"/>
      <c r="H248" s="1295"/>
      <c r="I248" s="1233"/>
      <c r="J248" s="49" t="s">
        <v>677</v>
      </c>
      <c r="K248" s="49" t="s">
        <v>677</v>
      </c>
      <c r="L248" s="1294" t="s">
        <v>90</v>
      </c>
      <c r="M248" s="1294">
        <v>62709600</v>
      </c>
      <c r="N248" s="49" t="s">
        <v>14</v>
      </c>
      <c r="O248" s="1243" t="s">
        <v>2342</v>
      </c>
    </row>
    <row r="249" spans="1:15" ht="216.75">
      <c r="A249" s="1293">
        <v>213608012000003</v>
      </c>
      <c r="B249" s="1274"/>
      <c r="C249" s="1237" t="s">
        <v>2703</v>
      </c>
      <c r="D249" s="1238"/>
      <c r="E249" s="49"/>
      <c r="F249" s="1237" t="s">
        <v>2704</v>
      </c>
      <c r="G249" s="1250"/>
      <c r="H249" s="1295"/>
      <c r="I249" s="1233"/>
      <c r="J249" s="49" t="s">
        <v>677</v>
      </c>
      <c r="K249" s="49" t="s">
        <v>677</v>
      </c>
      <c r="L249" s="1244" t="s">
        <v>70</v>
      </c>
      <c r="M249" s="1294">
        <v>60499916</v>
      </c>
      <c r="N249" s="49" t="s">
        <v>14</v>
      </c>
      <c r="O249" s="1243" t="s">
        <v>2342</v>
      </c>
    </row>
    <row r="250" spans="1:15" ht="25.5">
      <c r="A250" s="1293">
        <v>213608012000003</v>
      </c>
      <c r="B250" s="1274"/>
      <c r="C250" s="1237" t="s">
        <v>2705</v>
      </c>
      <c r="D250" s="1238"/>
      <c r="E250" s="49"/>
      <c r="F250" s="1243"/>
      <c r="G250" s="1250"/>
      <c r="H250" s="1295"/>
      <c r="I250" s="1233"/>
      <c r="J250" s="49" t="s">
        <v>677</v>
      </c>
      <c r="K250" s="49" t="s">
        <v>677</v>
      </c>
      <c r="L250" s="1233"/>
      <c r="M250" s="1233"/>
      <c r="N250" s="1233"/>
      <c r="O250" s="1234" t="s">
        <v>2328</v>
      </c>
    </row>
    <row r="251" spans="1:15" ht="51">
      <c r="A251" s="1293"/>
      <c r="B251" s="1274"/>
      <c r="C251" s="1237" t="s">
        <v>2706</v>
      </c>
      <c r="D251" s="1238"/>
      <c r="E251" s="49"/>
      <c r="F251" s="1243"/>
      <c r="G251" s="1250">
        <v>63000000</v>
      </c>
      <c r="H251" s="1295"/>
      <c r="I251" s="1233"/>
      <c r="J251" s="49" t="s">
        <v>677</v>
      </c>
      <c r="K251" s="49" t="s">
        <v>677</v>
      </c>
      <c r="L251" s="1233"/>
      <c r="M251" s="1233"/>
      <c r="N251" s="1233"/>
      <c r="O251" s="1234" t="s">
        <v>2328</v>
      </c>
    </row>
    <row r="252" spans="1:15" ht="63.75">
      <c r="A252" s="1293"/>
      <c r="B252" s="1274"/>
      <c r="C252" s="1237" t="s">
        <v>2707</v>
      </c>
      <c r="D252" s="1238"/>
      <c r="E252" s="49"/>
      <c r="F252" s="1243"/>
      <c r="G252" s="1250">
        <v>128000000</v>
      </c>
      <c r="H252" s="1295"/>
      <c r="I252" s="1233"/>
      <c r="J252" s="49" t="s">
        <v>677</v>
      </c>
      <c r="K252" s="49" t="s">
        <v>677</v>
      </c>
      <c r="L252" s="1233"/>
      <c r="M252" s="1298"/>
      <c r="N252" s="1233"/>
      <c r="O252" s="1234" t="s">
        <v>2328</v>
      </c>
    </row>
    <row r="253" spans="1:15" ht="63.75">
      <c r="A253" s="1293"/>
      <c r="B253" s="1274"/>
      <c r="C253" s="1237" t="s">
        <v>2707</v>
      </c>
      <c r="D253" s="1238"/>
      <c r="E253" s="49"/>
      <c r="F253" s="1243"/>
      <c r="G253" s="1250">
        <v>63000000</v>
      </c>
      <c r="H253" s="1295"/>
      <c r="I253" s="1233"/>
      <c r="J253" s="49" t="s">
        <v>677</v>
      </c>
      <c r="K253" s="49" t="s">
        <v>677</v>
      </c>
      <c r="L253" s="1233"/>
      <c r="M253" s="1233"/>
      <c r="N253" s="1233"/>
      <c r="O253" s="1234" t="s">
        <v>2328</v>
      </c>
    </row>
    <row r="254" spans="1:15" ht="25.5">
      <c r="A254" s="1299"/>
      <c r="B254" s="1300" t="s">
        <v>2708</v>
      </c>
      <c r="C254" s="1282"/>
      <c r="D254" s="1283"/>
      <c r="E254" s="49"/>
      <c r="F254" s="1243"/>
      <c r="G254" s="1231">
        <f>+G211+G214+G247+G219</f>
        <v>1621108929</v>
      </c>
      <c r="H254" s="1295"/>
      <c r="I254" s="1233"/>
      <c r="J254" s="49"/>
      <c r="K254" s="49"/>
      <c r="L254" s="1233"/>
      <c r="M254" s="1233"/>
      <c r="N254" s="1233"/>
      <c r="O254" s="1233"/>
    </row>
    <row r="255" spans="1:15">
      <c r="A255" s="1822" t="s">
        <v>307</v>
      </c>
      <c r="B255" s="1822"/>
      <c r="C255" s="1822"/>
      <c r="D255" s="1822"/>
      <c r="E255" s="1822"/>
      <c r="F255" s="1822"/>
      <c r="G255" s="1822"/>
      <c r="H255" s="1822"/>
      <c r="I255" s="1822"/>
      <c r="J255" s="1822"/>
      <c r="K255" s="1822"/>
      <c r="L255" s="1822"/>
      <c r="M255" s="1822"/>
      <c r="N255" s="1822"/>
      <c r="O255" s="1822"/>
    </row>
    <row r="256" spans="1:15">
      <c r="A256" s="1822" t="s">
        <v>308</v>
      </c>
      <c r="B256" s="1822"/>
      <c r="C256" s="1822"/>
      <c r="D256" s="1822"/>
      <c r="E256" s="1822"/>
      <c r="F256" s="1822"/>
      <c r="G256" s="1822"/>
      <c r="H256" s="1822"/>
      <c r="I256" s="1822"/>
      <c r="J256" s="1822"/>
      <c r="K256" s="1822"/>
      <c r="L256" s="1822"/>
      <c r="M256" s="1822"/>
      <c r="N256" s="1822"/>
      <c r="O256" s="1822"/>
    </row>
    <row r="257" spans="1:15">
      <c r="A257" s="1822" t="s">
        <v>2709</v>
      </c>
      <c r="B257" s="1822"/>
      <c r="C257" s="1822"/>
      <c r="D257" s="1822"/>
      <c r="E257" s="1822"/>
      <c r="F257" s="1822"/>
      <c r="G257" s="1822"/>
      <c r="H257" s="1822"/>
      <c r="I257" s="1822"/>
      <c r="J257" s="1822"/>
      <c r="K257" s="1822"/>
      <c r="L257" s="1822"/>
      <c r="M257" s="1822"/>
      <c r="N257" s="1822"/>
      <c r="O257" s="1822"/>
    </row>
    <row r="258" spans="1:15">
      <c r="A258" s="1553" t="s">
        <v>48</v>
      </c>
      <c r="B258" s="1553" t="s">
        <v>49</v>
      </c>
      <c r="C258" s="1553"/>
      <c r="D258" s="1553" t="s">
        <v>229</v>
      </c>
      <c r="E258" s="1553" t="s">
        <v>230</v>
      </c>
      <c r="F258" s="1553" t="s">
        <v>131</v>
      </c>
      <c r="G258" s="1823" t="s">
        <v>231</v>
      </c>
      <c r="H258" s="1553" t="s">
        <v>232</v>
      </c>
      <c r="I258" s="1553" t="s">
        <v>233</v>
      </c>
      <c r="J258" s="1553" t="s">
        <v>234</v>
      </c>
      <c r="K258" s="1553"/>
      <c r="L258" s="1553"/>
      <c r="M258" s="1553"/>
      <c r="N258" s="1824" t="s">
        <v>1323</v>
      </c>
      <c r="O258" s="1824"/>
    </row>
    <row r="259" spans="1:15">
      <c r="A259" s="1553"/>
      <c r="B259" s="1553"/>
      <c r="C259" s="1553"/>
      <c r="D259" s="1553"/>
      <c r="E259" s="1553"/>
      <c r="F259" s="1553"/>
      <c r="G259" s="1823"/>
      <c r="H259" s="1553"/>
      <c r="I259" s="1553"/>
      <c r="J259" s="1553"/>
      <c r="K259" s="1553"/>
      <c r="L259" s="1553"/>
      <c r="M259" s="1553"/>
      <c r="N259" s="1824"/>
      <c r="O259" s="1824"/>
    </row>
    <row r="260" spans="1:15">
      <c r="A260" s="1553"/>
      <c r="B260" s="1553"/>
      <c r="C260" s="1553"/>
      <c r="D260" s="1553"/>
      <c r="E260" s="1553"/>
      <c r="F260" s="1553"/>
      <c r="G260" s="1823"/>
      <c r="H260" s="1553"/>
      <c r="I260" s="1553"/>
      <c r="J260" s="1825" t="s">
        <v>236</v>
      </c>
      <c r="K260" s="1825"/>
      <c r="L260" s="1726" t="s">
        <v>237</v>
      </c>
      <c r="M260" s="1726"/>
      <c r="N260" s="1824"/>
      <c r="O260" s="1824"/>
    </row>
    <row r="261" spans="1:15">
      <c r="A261" s="1553"/>
      <c r="B261" s="1553"/>
      <c r="C261" s="1553"/>
      <c r="D261" s="1553"/>
      <c r="E261" s="1189" t="s">
        <v>238</v>
      </c>
      <c r="F261" s="1553"/>
      <c r="G261" s="1823"/>
      <c r="H261" s="1553"/>
      <c r="I261" s="1553"/>
      <c r="J261" s="1285" t="s">
        <v>239</v>
      </c>
      <c r="K261" s="1285" t="s">
        <v>240</v>
      </c>
      <c r="L261" s="1285" t="s">
        <v>239</v>
      </c>
      <c r="M261" s="1285" t="s">
        <v>240</v>
      </c>
      <c r="N261" s="608" t="s">
        <v>18</v>
      </c>
      <c r="O261" s="1286" t="s">
        <v>71</v>
      </c>
    </row>
    <row r="262" spans="1:15" ht="51">
      <c r="A262" s="1287">
        <v>213608002</v>
      </c>
      <c r="B262" s="1241" t="s">
        <v>2710</v>
      </c>
      <c r="C262" s="1241"/>
      <c r="D262" s="1240"/>
      <c r="E262" s="1233"/>
      <c r="F262" s="1252"/>
      <c r="G262" s="1301">
        <f>SUM(G263:G264)</f>
        <v>57000000</v>
      </c>
      <c r="H262" s="1295"/>
      <c r="I262" s="1233"/>
      <c r="J262" s="49" t="s">
        <v>677</v>
      </c>
      <c r="K262" s="49" t="s">
        <v>677</v>
      </c>
      <c r="L262" s="1233"/>
      <c r="M262" s="1233"/>
      <c r="N262" s="1233"/>
      <c r="O262" s="1233"/>
    </row>
    <row r="263" spans="1:15" ht="25.5">
      <c r="A263" s="1289">
        <v>213608002000002</v>
      </c>
      <c r="B263" s="811"/>
      <c r="C263" s="1237" t="s">
        <v>93</v>
      </c>
      <c r="D263" s="1238"/>
      <c r="E263" s="1233"/>
      <c r="F263" s="1252"/>
      <c r="G263" s="1302">
        <v>25000000</v>
      </c>
      <c r="H263" s="1295"/>
      <c r="I263" s="1233"/>
      <c r="J263" s="49" t="s">
        <v>677</v>
      </c>
      <c r="K263" s="49" t="s">
        <v>677</v>
      </c>
      <c r="L263" s="1233"/>
      <c r="M263" s="1233"/>
      <c r="N263" s="1233"/>
      <c r="O263" s="1234" t="s">
        <v>2328</v>
      </c>
    </row>
    <row r="264" spans="1:15" ht="153">
      <c r="A264" s="1289">
        <v>213608002000009</v>
      </c>
      <c r="B264" s="811"/>
      <c r="C264" s="1237" t="s">
        <v>2711</v>
      </c>
      <c r="D264" s="1238"/>
      <c r="E264" s="1233"/>
      <c r="F264" s="1237" t="s">
        <v>2712</v>
      </c>
      <c r="G264" s="1302">
        <v>32000000</v>
      </c>
      <c r="H264" s="1295"/>
      <c r="I264" s="1233"/>
      <c r="J264" s="49" t="s">
        <v>677</v>
      </c>
      <c r="K264" s="49" t="s">
        <v>677</v>
      </c>
      <c r="L264" s="1244" t="s">
        <v>70</v>
      </c>
      <c r="M264" s="1294">
        <v>17486240</v>
      </c>
      <c r="N264" s="49" t="s">
        <v>14</v>
      </c>
      <c r="O264" s="1243" t="s">
        <v>2342</v>
      </c>
    </row>
    <row r="265" spans="1:15" ht="76.5">
      <c r="A265" s="1291">
        <v>21360803</v>
      </c>
      <c r="B265" s="1292" t="s">
        <v>2713</v>
      </c>
      <c r="C265" s="1241"/>
      <c r="D265" s="1229"/>
      <c r="E265" s="1233"/>
      <c r="F265" s="1252"/>
      <c r="G265" s="1303">
        <f>SUM(G266:G268)</f>
        <v>87000000</v>
      </c>
      <c r="H265" s="1295"/>
      <c r="I265" s="1233"/>
      <c r="J265" s="49" t="s">
        <v>677</v>
      </c>
      <c r="K265" s="49" t="s">
        <v>677</v>
      </c>
      <c r="L265" s="1233"/>
      <c r="M265" s="1233"/>
      <c r="N265" s="1233"/>
      <c r="O265" s="1233"/>
    </row>
    <row r="266" spans="1:15" ht="408">
      <c r="A266" s="1293">
        <v>213608003000004</v>
      </c>
      <c r="B266" s="1304"/>
      <c r="C266" s="1237" t="s">
        <v>2714</v>
      </c>
      <c r="D266" s="1238"/>
      <c r="E266" s="1233"/>
      <c r="F266" s="1305" t="s">
        <v>2715</v>
      </c>
      <c r="G266" s="1306">
        <v>20000000</v>
      </c>
      <c r="H266" s="1295"/>
      <c r="I266" s="1233"/>
      <c r="J266" s="49" t="s">
        <v>677</v>
      </c>
      <c r="K266" s="49" t="s">
        <v>677</v>
      </c>
      <c r="L266" s="1244" t="s">
        <v>70</v>
      </c>
      <c r="M266" s="1294">
        <v>19314000</v>
      </c>
      <c r="N266" s="49" t="s">
        <v>14</v>
      </c>
      <c r="O266" s="1243" t="s">
        <v>2342</v>
      </c>
    </row>
    <row r="267" spans="1:15" ht="153">
      <c r="A267" s="1293">
        <v>213608003000005</v>
      </c>
      <c r="B267" s="1304"/>
      <c r="C267" s="1237" t="s">
        <v>2716</v>
      </c>
      <c r="D267" s="1238"/>
      <c r="E267" s="1233"/>
      <c r="F267" s="1237" t="s">
        <v>2717</v>
      </c>
      <c r="G267" s="1306">
        <v>2000000</v>
      </c>
      <c r="H267" s="1295"/>
      <c r="I267" s="1233"/>
      <c r="J267" s="49" t="s">
        <v>677</v>
      </c>
      <c r="K267" s="49" t="s">
        <v>677</v>
      </c>
      <c r="L267" s="1244" t="s">
        <v>90</v>
      </c>
      <c r="M267" s="1294">
        <v>1900000</v>
      </c>
      <c r="N267" s="49" t="s">
        <v>14</v>
      </c>
      <c r="O267" s="1243" t="s">
        <v>2342</v>
      </c>
    </row>
    <row r="268" spans="1:15" ht="409.5">
      <c r="A268" s="1293">
        <v>2.13608003000006E+16</v>
      </c>
      <c r="B268" s="1304"/>
      <c r="C268" s="1237" t="s">
        <v>2718</v>
      </c>
      <c r="D268" s="1238"/>
      <c r="E268" s="1233"/>
      <c r="F268" s="1307" t="s">
        <v>2719</v>
      </c>
      <c r="G268" s="1306">
        <v>65000000</v>
      </c>
      <c r="H268" s="1295"/>
      <c r="I268" s="1233"/>
      <c r="J268" s="49" t="s">
        <v>677</v>
      </c>
      <c r="K268" s="49" t="s">
        <v>677</v>
      </c>
      <c r="L268" s="1244" t="s">
        <v>69</v>
      </c>
      <c r="M268" s="1294">
        <v>64740000</v>
      </c>
      <c r="N268" s="49" t="s">
        <v>14</v>
      </c>
      <c r="O268" s="1243" t="s">
        <v>2342</v>
      </c>
    </row>
    <row r="269" spans="1:15">
      <c r="A269" s="1299"/>
      <c r="B269" s="1300" t="s">
        <v>2720</v>
      </c>
      <c r="C269" s="1282"/>
      <c r="D269" s="1283"/>
      <c r="E269" s="1233"/>
      <c r="F269" s="1252"/>
      <c r="G269" s="1303">
        <f>+G262+G265</f>
        <v>144000000</v>
      </c>
      <c r="H269" s="1295"/>
      <c r="I269" s="1233"/>
      <c r="J269" s="49"/>
      <c r="K269" s="49"/>
      <c r="L269" s="1233"/>
      <c r="M269" s="1233"/>
      <c r="N269" s="1233"/>
      <c r="O269" s="1233"/>
    </row>
    <row r="270" spans="1:15">
      <c r="A270" s="1822" t="s">
        <v>307</v>
      </c>
      <c r="B270" s="1822"/>
      <c r="C270" s="1822"/>
      <c r="D270" s="1822"/>
      <c r="E270" s="1822"/>
      <c r="F270" s="1822"/>
      <c r="G270" s="1822"/>
      <c r="H270" s="1822"/>
      <c r="I270" s="1822"/>
      <c r="J270" s="1822"/>
      <c r="K270" s="1822"/>
      <c r="L270" s="1822"/>
      <c r="M270" s="1822"/>
      <c r="N270" s="1822"/>
      <c r="O270" s="1822"/>
    </row>
    <row r="271" spans="1:15">
      <c r="A271" s="1822" t="s">
        <v>308</v>
      </c>
      <c r="B271" s="1822"/>
      <c r="C271" s="1822"/>
      <c r="D271" s="1822"/>
      <c r="E271" s="1822"/>
      <c r="F271" s="1822"/>
      <c r="G271" s="1822"/>
      <c r="H271" s="1822"/>
      <c r="I271" s="1822"/>
      <c r="J271" s="1822"/>
      <c r="K271" s="1822"/>
      <c r="L271" s="1822"/>
      <c r="M271" s="1822"/>
      <c r="N271" s="1822"/>
      <c r="O271" s="1822"/>
    </row>
    <row r="272" spans="1:15">
      <c r="A272" s="1822" t="s">
        <v>2721</v>
      </c>
      <c r="B272" s="1822"/>
      <c r="C272" s="1822"/>
      <c r="D272" s="1822"/>
      <c r="E272" s="1822"/>
      <c r="F272" s="1822"/>
      <c r="G272" s="1822"/>
      <c r="H272" s="1822"/>
      <c r="I272" s="1822"/>
      <c r="J272" s="1822"/>
      <c r="K272" s="1822"/>
      <c r="L272" s="1822"/>
      <c r="M272" s="1822"/>
      <c r="N272" s="1822"/>
      <c r="O272" s="1822"/>
    </row>
    <row r="273" spans="1:15">
      <c r="A273" s="1553" t="s">
        <v>48</v>
      </c>
      <c r="B273" s="1553" t="s">
        <v>49</v>
      </c>
      <c r="C273" s="1553"/>
      <c r="D273" s="1553" t="s">
        <v>229</v>
      </c>
      <c r="E273" s="1553" t="s">
        <v>230</v>
      </c>
      <c r="F273" s="1553" t="s">
        <v>131</v>
      </c>
      <c r="G273" s="1823" t="s">
        <v>231</v>
      </c>
      <c r="H273" s="1553" t="s">
        <v>232</v>
      </c>
      <c r="I273" s="1553" t="s">
        <v>233</v>
      </c>
      <c r="J273" s="1553" t="s">
        <v>234</v>
      </c>
      <c r="K273" s="1553"/>
      <c r="L273" s="1553"/>
      <c r="M273" s="1553"/>
      <c r="N273" s="1824" t="s">
        <v>1323</v>
      </c>
      <c r="O273" s="1824"/>
    </row>
    <row r="274" spans="1:15">
      <c r="A274" s="1553"/>
      <c r="B274" s="1553"/>
      <c r="C274" s="1553"/>
      <c r="D274" s="1553"/>
      <c r="E274" s="1553"/>
      <c r="F274" s="1553"/>
      <c r="G274" s="1823"/>
      <c r="H274" s="1553"/>
      <c r="I274" s="1553"/>
      <c r="J274" s="1553"/>
      <c r="K274" s="1553"/>
      <c r="L274" s="1553"/>
      <c r="M274" s="1553"/>
      <c r="N274" s="1824"/>
      <c r="O274" s="1824"/>
    </row>
    <row r="275" spans="1:15">
      <c r="A275" s="1553"/>
      <c r="B275" s="1553"/>
      <c r="C275" s="1553"/>
      <c r="D275" s="1553"/>
      <c r="E275" s="1553"/>
      <c r="F275" s="1553"/>
      <c r="G275" s="1823"/>
      <c r="H275" s="1553"/>
      <c r="I275" s="1553"/>
      <c r="J275" s="1825" t="s">
        <v>236</v>
      </c>
      <c r="K275" s="1825"/>
      <c r="L275" s="1726" t="s">
        <v>237</v>
      </c>
      <c r="M275" s="1726"/>
      <c r="N275" s="1824"/>
      <c r="O275" s="1824"/>
    </row>
    <row r="276" spans="1:15">
      <c r="A276" s="1553"/>
      <c r="B276" s="1553"/>
      <c r="C276" s="1553"/>
      <c r="D276" s="1553"/>
      <c r="E276" s="1189" t="s">
        <v>238</v>
      </c>
      <c r="F276" s="1553"/>
      <c r="G276" s="1823"/>
      <c r="H276" s="1553"/>
      <c r="I276" s="1553"/>
      <c r="J276" s="1285" t="s">
        <v>239</v>
      </c>
      <c r="K276" s="1285" t="s">
        <v>240</v>
      </c>
      <c r="L276" s="1285" t="s">
        <v>239</v>
      </c>
      <c r="M276" s="1285" t="s">
        <v>240</v>
      </c>
      <c r="N276" s="608" t="s">
        <v>18</v>
      </c>
      <c r="O276" s="1286" t="s">
        <v>71</v>
      </c>
    </row>
    <row r="277" spans="1:15" ht="38.25">
      <c r="A277" s="1287">
        <v>320608001</v>
      </c>
      <c r="B277" s="1241" t="s">
        <v>160</v>
      </c>
      <c r="C277" s="1240"/>
      <c r="D277" s="1240"/>
      <c r="E277" s="1233"/>
      <c r="F277" s="1252"/>
      <c r="G277" s="1308">
        <f>SUM(G278:G296)</f>
        <v>447100000</v>
      </c>
      <c r="H277" s="1295"/>
      <c r="I277" s="1233"/>
      <c r="J277" s="49" t="s">
        <v>677</v>
      </c>
      <c r="K277" s="49" t="s">
        <v>677</v>
      </c>
      <c r="L277" s="1233"/>
      <c r="M277" s="1233"/>
      <c r="N277" s="1233"/>
      <c r="O277" s="1233"/>
    </row>
    <row r="278" spans="1:15" ht="409.5">
      <c r="A278" s="1289">
        <v>3.2060800100000102E+17</v>
      </c>
      <c r="B278" s="811"/>
      <c r="C278" s="1243" t="s">
        <v>2722</v>
      </c>
      <c r="D278" s="1238"/>
      <c r="E278" s="1233"/>
      <c r="F278" s="1309" t="s">
        <v>2723</v>
      </c>
      <c r="G278" s="1310">
        <v>90000000</v>
      </c>
      <c r="H278" s="1295"/>
      <c r="I278" s="1233"/>
      <c r="J278" s="49" t="s">
        <v>677</v>
      </c>
      <c r="K278" s="49" t="s">
        <v>677</v>
      </c>
      <c r="L278" s="1244" t="s">
        <v>90</v>
      </c>
      <c r="M278" s="1294">
        <v>76387431</v>
      </c>
      <c r="N278" s="49" t="s">
        <v>14</v>
      </c>
      <c r="O278" s="1243" t="s">
        <v>2342</v>
      </c>
    </row>
    <row r="279" spans="1:15" ht="38.25">
      <c r="A279" s="1289">
        <v>3.20608001000001E+16</v>
      </c>
      <c r="B279" s="811"/>
      <c r="C279" s="1243" t="s">
        <v>2722</v>
      </c>
      <c r="D279" s="1238"/>
      <c r="E279" s="1233"/>
      <c r="F279" s="1252"/>
      <c r="G279" s="1310"/>
      <c r="H279" s="1295"/>
      <c r="I279" s="1233"/>
      <c r="J279" s="49" t="s">
        <v>677</v>
      </c>
      <c r="K279" s="49" t="s">
        <v>677</v>
      </c>
      <c r="L279" s="1233"/>
      <c r="M279" s="1233"/>
      <c r="N279" s="1233"/>
      <c r="O279" s="1234" t="s">
        <v>2328</v>
      </c>
    </row>
    <row r="280" spans="1:15" ht="204">
      <c r="A280" s="1289">
        <v>3.2060800100000102E+17</v>
      </c>
      <c r="B280" s="811"/>
      <c r="C280" s="1243" t="s">
        <v>2724</v>
      </c>
      <c r="D280" s="1238"/>
      <c r="E280" s="1233"/>
      <c r="F280" s="1309" t="s">
        <v>2725</v>
      </c>
      <c r="G280" s="1310">
        <v>20000000</v>
      </c>
      <c r="H280" s="1295"/>
      <c r="I280" s="1233"/>
      <c r="J280" s="49" t="s">
        <v>677</v>
      </c>
      <c r="K280" s="49" t="s">
        <v>677</v>
      </c>
      <c r="L280" s="1244" t="s">
        <v>70</v>
      </c>
      <c r="M280" s="1294">
        <v>26845801</v>
      </c>
      <c r="N280" s="49" t="s">
        <v>14</v>
      </c>
      <c r="O280" s="1243" t="s">
        <v>2342</v>
      </c>
    </row>
    <row r="281" spans="1:15" ht="25.5">
      <c r="A281" s="1289">
        <v>3.2060800100000102E+17</v>
      </c>
      <c r="B281" s="811"/>
      <c r="C281" s="1243" t="s">
        <v>53</v>
      </c>
      <c r="D281" s="1238"/>
      <c r="E281" s="1233"/>
      <c r="F281" s="1252"/>
      <c r="G281" s="1310">
        <v>10000000</v>
      </c>
      <c r="H281" s="1295"/>
      <c r="I281" s="1233"/>
      <c r="J281" s="49" t="s">
        <v>677</v>
      </c>
      <c r="K281" s="49" t="s">
        <v>677</v>
      </c>
      <c r="L281" s="1233"/>
      <c r="M281" s="1233"/>
      <c r="N281" s="1233"/>
      <c r="O281" s="1234" t="s">
        <v>2328</v>
      </c>
    </row>
    <row r="282" spans="1:15" ht="127.5">
      <c r="A282" s="1289">
        <v>3.2060800100000102E+17</v>
      </c>
      <c r="B282" s="811"/>
      <c r="C282" s="1243" t="s">
        <v>2726</v>
      </c>
      <c r="D282" s="1238"/>
      <c r="E282" s="1233"/>
      <c r="F282" s="1309" t="s">
        <v>2727</v>
      </c>
      <c r="G282" s="1310">
        <v>6000000</v>
      </c>
      <c r="H282" s="1295"/>
      <c r="I282" s="1233"/>
      <c r="J282" s="49" t="s">
        <v>677</v>
      </c>
      <c r="K282" s="49" t="s">
        <v>677</v>
      </c>
      <c r="L282" s="1244" t="s">
        <v>70</v>
      </c>
      <c r="M282" s="1294">
        <v>4877619</v>
      </c>
      <c r="N282" s="49" t="s">
        <v>14</v>
      </c>
      <c r="O282" s="1243" t="s">
        <v>2342</v>
      </c>
    </row>
    <row r="283" spans="1:15" ht="140.25">
      <c r="A283" s="1289">
        <v>3.2060800100000102E+17</v>
      </c>
      <c r="B283" s="811"/>
      <c r="C283" s="1243" t="s">
        <v>2728</v>
      </c>
      <c r="D283" s="1238"/>
      <c r="E283" s="1233"/>
      <c r="F283" s="1311" t="s">
        <v>2729</v>
      </c>
      <c r="G283" s="1310">
        <v>6000000</v>
      </c>
      <c r="H283" s="1295"/>
      <c r="I283" s="1233"/>
      <c r="J283" s="49" t="s">
        <v>677</v>
      </c>
      <c r="K283" s="49" t="s">
        <v>677</v>
      </c>
      <c r="L283" s="1244" t="s">
        <v>91</v>
      </c>
      <c r="M283" s="1294">
        <v>3917620</v>
      </c>
      <c r="N283" s="49" t="s">
        <v>14</v>
      </c>
      <c r="O283" s="1243" t="s">
        <v>2342</v>
      </c>
    </row>
    <row r="284" spans="1:15" ht="38.25">
      <c r="A284" s="1289">
        <v>3.20608001000002E+16</v>
      </c>
      <c r="B284" s="811"/>
      <c r="C284" s="1243" t="s">
        <v>2730</v>
      </c>
      <c r="D284" s="1238"/>
      <c r="E284" s="1233"/>
      <c r="F284" s="1252"/>
      <c r="G284" s="1310">
        <v>10000000</v>
      </c>
      <c r="H284" s="1295"/>
      <c r="I284" s="1233"/>
      <c r="J284" s="49" t="s">
        <v>677</v>
      </c>
      <c r="K284" s="49" t="s">
        <v>677</v>
      </c>
      <c r="L284" s="1233"/>
      <c r="M284" s="1233"/>
      <c r="N284" s="1233"/>
      <c r="O284" s="1234" t="s">
        <v>2328</v>
      </c>
    </row>
    <row r="285" spans="1:15" ht="140.25">
      <c r="A285" s="1289">
        <v>3.20608001000003E+16</v>
      </c>
      <c r="B285" s="811"/>
      <c r="C285" s="1243" t="s">
        <v>2731</v>
      </c>
      <c r="D285" s="1238"/>
      <c r="E285" s="1233"/>
      <c r="F285" s="1309" t="s">
        <v>2732</v>
      </c>
      <c r="G285" s="1310">
        <v>10000000</v>
      </c>
      <c r="H285" s="1295"/>
      <c r="I285" s="1233"/>
      <c r="J285" s="49" t="s">
        <v>677</v>
      </c>
      <c r="K285" s="49" t="s">
        <v>677</v>
      </c>
      <c r="L285" s="1244" t="s">
        <v>79</v>
      </c>
      <c r="M285" s="1294">
        <v>8320297</v>
      </c>
      <c r="N285" s="49" t="s">
        <v>14</v>
      </c>
      <c r="O285" s="1243" t="s">
        <v>2342</v>
      </c>
    </row>
    <row r="286" spans="1:15" ht="25.5">
      <c r="A286" s="1289">
        <v>320608001000004</v>
      </c>
      <c r="B286" s="811"/>
      <c r="C286" s="1243" t="s">
        <v>2733</v>
      </c>
      <c r="D286" s="1238"/>
      <c r="E286" s="1233"/>
      <c r="F286" s="1252"/>
      <c r="G286" s="1310">
        <v>36000000</v>
      </c>
      <c r="H286" s="1295"/>
      <c r="I286" s="1233"/>
      <c r="J286" s="49" t="s">
        <v>677</v>
      </c>
      <c r="K286" s="49" t="s">
        <v>677</v>
      </c>
      <c r="L286" s="1233"/>
      <c r="M286" s="1233"/>
      <c r="N286" s="1233"/>
      <c r="O286" s="1234" t="s">
        <v>2328</v>
      </c>
    </row>
    <row r="287" spans="1:15" ht="25.5">
      <c r="A287" s="1289">
        <v>320608001000004</v>
      </c>
      <c r="B287" s="811"/>
      <c r="C287" s="1243" t="s">
        <v>2733</v>
      </c>
      <c r="D287" s="1238"/>
      <c r="E287" s="1233"/>
      <c r="F287" s="1252"/>
      <c r="G287" s="1310"/>
      <c r="H287" s="1295"/>
      <c r="I287" s="1233"/>
      <c r="J287" s="49" t="s">
        <v>677</v>
      </c>
      <c r="K287" s="49" t="s">
        <v>677</v>
      </c>
      <c r="L287" s="1233"/>
      <c r="M287" s="1233"/>
      <c r="N287" s="1233"/>
      <c r="O287" s="1234" t="s">
        <v>2328</v>
      </c>
    </row>
    <row r="288" spans="1:15" ht="242.25">
      <c r="A288" s="1289">
        <v>320608001000005</v>
      </c>
      <c r="B288" s="811"/>
      <c r="C288" s="1243" t="s">
        <v>2734</v>
      </c>
      <c r="D288" s="1238"/>
      <c r="E288" s="1233"/>
      <c r="F288" s="1309" t="s">
        <v>2735</v>
      </c>
      <c r="G288" s="1310">
        <v>32000000</v>
      </c>
      <c r="H288" s="1295"/>
      <c r="I288" s="1233"/>
      <c r="J288" s="49" t="s">
        <v>677</v>
      </c>
      <c r="K288" s="49" t="s">
        <v>677</v>
      </c>
      <c r="L288" s="1244" t="s">
        <v>91</v>
      </c>
      <c r="M288" s="1294">
        <v>25818120</v>
      </c>
      <c r="N288" s="49" t="s">
        <v>14</v>
      </c>
      <c r="O288" s="1243" t="s">
        <v>2342</v>
      </c>
    </row>
    <row r="289" spans="1:15" ht="25.5">
      <c r="A289" s="1289">
        <v>320608001000005</v>
      </c>
      <c r="B289" s="811"/>
      <c r="C289" s="1243" t="s">
        <v>2734</v>
      </c>
      <c r="D289" s="1238"/>
      <c r="E289" s="1233"/>
      <c r="F289" s="1252"/>
      <c r="G289" s="1310"/>
      <c r="H289" s="1295"/>
      <c r="I289" s="1233"/>
      <c r="J289" s="49" t="s">
        <v>677</v>
      </c>
      <c r="K289" s="49" t="s">
        <v>677</v>
      </c>
      <c r="L289" s="1233"/>
      <c r="M289" s="1233"/>
      <c r="N289" s="1233"/>
      <c r="O289" s="1234" t="s">
        <v>2328</v>
      </c>
    </row>
    <row r="290" spans="1:15" ht="25.5">
      <c r="A290" s="1289">
        <v>320608001000006</v>
      </c>
      <c r="B290" s="811"/>
      <c r="C290" s="1243" t="s">
        <v>130</v>
      </c>
      <c r="D290" s="1238"/>
      <c r="E290" s="1233"/>
      <c r="F290" s="1252"/>
      <c r="G290" s="1310">
        <v>43100000</v>
      </c>
      <c r="H290" s="1295"/>
      <c r="I290" s="1233"/>
      <c r="J290" s="49" t="s">
        <v>677</v>
      </c>
      <c r="K290" s="49" t="s">
        <v>677</v>
      </c>
      <c r="L290" s="1233"/>
      <c r="M290" s="1233"/>
      <c r="N290" s="1233"/>
      <c r="O290" s="1234" t="s">
        <v>2328</v>
      </c>
    </row>
    <row r="291" spans="1:15" ht="165.75">
      <c r="A291" s="1289">
        <v>320608001000006</v>
      </c>
      <c r="B291" s="811"/>
      <c r="C291" s="1243" t="s">
        <v>130</v>
      </c>
      <c r="D291" s="1238"/>
      <c r="E291" s="1233"/>
      <c r="F291" s="1309" t="s">
        <v>2736</v>
      </c>
      <c r="G291" s="1310"/>
      <c r="H291" s="1295"/>
      <c r="I291" s="1233"/>
      <c r="J291" s="49" t="s">
        <v>677</v>
      </c>
      <c r="K291" s="49" t="s">
        <v>677</v>
      </c>
      <c r="L291" s="1244" t="s">
        <v>90</v>
      </c>
      <c r="M291" s="1294">
        <v>21012240</v>
      </c>
      <c r="N291" s="49" t="s">
        <v>14</v>
      </c>
      <c r="O291" s="1243" t="s">
        <v>2342</v>
      </c>
    </row>
    <row r="292" spans="1:15" ht="25.5">
      <c r="A292" s="1289">
        <v>320608001000006</v>
      </c>
      <c r="B292" s="811"/>
      <c r="C292" s="1243" t="s">
        <v>130</v>
      </c>
      <c r="D292" s="1238"/>
      <c r="E292" s="1233"/>
      <c r="F292" s="1252"/>
      <c r="G292" s="1310"/>
      <c r="H292" s="1295"/>
      <c r="I292" s="1233"/>
      <c r="J292" s="49" t="s">
        <v>677</v>
      </c>
      <c r="K292" s="49" t="s">
        <v>677</v>
      </c>
      <c r="L292" s="1233"/>
      <c r="M292" s="1233"/>
      <c r="N292" s="1233"/>
      <c r="O292" s="1234" t="s">
        <v>2328</v>
      </c>
    </row>
    <row r="293" spans="1:15" ht="204">
      <c r="A293" s="1289">
        <v>320608001000007</v>
      </c>
      <c r="B293" s="811"/>
      <c r="C293" s="1243" t="s">
        <v>1301</v>
      </c>
      <c r="D293" s="1238"/>
      <c r="E293" s="1233"/>
      <c r="F293" s="1312" t="s">
        <v>2737</v>
      </c>
      <c r="G293" s="1310">
        <v>14000000</v>
      </c>
      <c r="H293" s="1295"/>
      <c r="I293" s="1233"/>
      <c r="J293" s="49" t="s">
        <v>677</v>
      </c>
      <c r="K293" s="49" t="s">
        <v>677</v>
      </c>
      <c r="L293" s="1244" t="s">
        <v>91</v>
      </c>
      <c r="M293" s="1294">
        <v>7888000</v>
      </c>
      <c r="N293" s="49" t="s">
        <v>14</v>
      </c>
      <c r="O293" s="1243" t="s">
        <v>2342</v>
      </c>
    </row>
    <row r="294" spans="1:15" ht="409.5">
      <c r="A294" s="1289">
        <v>320608001000008</v>
      </c>
      <c r="B294" s="811"/>
      <c r="C294" s="1243" t="s">
        <v>2738</v>
      </c>
      <c r="D294" s="1238"/>
      <c r="E294" s="1233"/>
      <c r="F294" s="1313" t="s">
        <v>2739</v>
      </c>
      <c r="G294" s="1310">
        <v>90000000</v>
      </c>
      <c r="H294" s="1295"/>
      <c r="I294" s="1233"/>
      <c r="J294" s="49" t="s">
        <v>677</v>
      </c>
      <c r="K294" s="49" t="s">
        <v>677</v>
      </c>
      <c r="L294" s="1294" t="s">
        <v>13</v>
      </c>
      <c r="M294" s="1294">
        <v>89612300</v>
      </c>
      <c r="N294" s="49" t="s">
        <v>14</v>
      </c>
      <c r="O294" s="1243" t="s">
        <v>2342</v>
      </c>
    </row>
    <row r="295" spans="1:15" ht="178.5">
      <c r="A295" s="1289">
        <v>320608001000009</v>
      </c>
      <c r="B295" s="811"/>
      <c r="C295" s="1243" t="s">
        <v>2740</v>
      </c>
      <c r="D295" s="1238"/>
      <c r="E295" s="1233"/>
      <c r="F295" s="1314" t="s">
        <v>2741</v>
      </c>
      <c r="G295" s="1310">
        <v>60000000</v>
      </c>
      <c r="H295" s="1295"/>
      <c r="I295" s="1233"/>
      <c r="J295" s="49" t="s">
        <v>677</v>
      </c>
      <c r="K295" s="49" t="s">
        <v>677</v>
      </c>
      <c r="L295" s="1294" t="s">
        <v>91</v>
      </c>
      <c r="M295" s="1294">
        <v>49833600</v>
      </c>
      <c r="N295" s="49" t="s">
        <v>14</v>
      </c>
      <c r="O295" s="1243" t="s">
        <v>2342</v>
      </c>
    </row>
    <row r="296" spans="1:15" ht="229.5">
      <c r="A296" s="1289">
        <v>320608001000010</v>
      </c>
      <c r="B296" s="811"/>
      <c r="C296" s="1243" t="s">
        <v>2742</v>
      </c>
      <c r="D296" s="1238"/>
      <c r="E296" s="1233"/>
      <c r="F296" s="1309" t="s">
        <v>2743</v>
      </c>
      <c r="G296" s="1310">
        <v>20000000</v>
      </c>
      <c r="H296" s="1295"/>
      <c r="I296" s="1233"/>
      <c r="J296" s="49" t="s">
        <v>677</v>
      </c>
      <c r="K296" s="49" t="s">
        <v>677</v>
      </c>
      <c r="L296" s="1294" t="s">
        <v>91</v>
      </c>
      <c r="M296" s="1294">
        <v>19800000</v>
      </c>
      <c r="N296" s="49" t="s">
        <v>14</v>
      </c>
      <c r="O296" s="1243" t="s">
        <v>2342</v>
      </c>
    </row>
    <row r="297" spans="1:15" ht="25.5">
      <c r="A297" s="1315"/>
      <c r="B297" s="1300" t="s">
        <v>2744</v>
      </c>
      <c r="C297" s="1282"/>
      <c r="D297" s="1283"/>
      <c r="E297" s="1233"/>
      <c r="F297" s="1252"/>
      <c r="G297" s="1316">
        <f>+G277</f>
        <v>447100000</v>
      </c>
      <c r="H297" s="1295"/>
      <c r="I297" s="1233"/>
      <c r="J297" s="1233"/>
      <c r="K297" s="1233"/>
      <c r="L297" s="1233"/>
      <c r="M297" s="1233"/>
      <c r="N297" s="1233"/>
      <c r="O297" s="1233"/>
    </row>
    <row r="298" spans="1:15">
      <c r="A298" s="1822" t="s">
        <v>307</v>
      </c>
      <c r="B298" s="1822"/>
      <c r="C298" s="1822"/>
      <c r="D298" s="1822"/>
      <c r="E298" s="1822"/>
      <c r="F298" s="1822"/>
      <c r="G298" s="1822"/>
      <c r="H298" s="1822"/>
      <c r="I298" s="1822"/>
      <c r="J298" s="1822"/>
      <c r="K298" s="1822"/>
      <c r="L298" s="1822"/>
      <c r="M298" s="1822"/>
      <c r="N298" s="1822"/>
      <c r="O298" s="1822"/>
    </row>
    <row r="299" spans="1:15">
      <c r="A299" s="1822" t="s">
        <v>308</v>
      </c>
      <c r="B299" s="1822"/>
      <c r="C299" s="1822"/>
      <c r="D299" s="1822"/>
      <c r="E299" s="1822"/>
      <c r="F299" s="1822"/>
      <c r="G299" s="1822"/>
      <c r="H299" s="1822"/>
      <c r="I299" s="1822"/>
      <c r="J299" s="1822"/>
      <c r="K299" s="1822"/>
      <c r="L299" s="1822"/>
      <c r="M299" s="1822"/>
      <c r="N299" s="1822"/>
      <c r="O299" s="1822"/>
    </row>
    <row r="300" spans="1:15">
      <c r="A300" s="1822" t="s">
        <v>2745</v>
      </c>
      <c r="B300" s="1822"/>
      <c r="C300" s="1822"/>
      <c r="D300" s="1822"/>
      <c r="E300" s="1822"/>
      <c r="F300" s="1822"/>
      <c r="G300" s="1822"/>
      <c r="H300" s="1822"/>
      <c r="I300" s="1822"/>
      <c r="J300" s="1822"/>
      <c r="K300" s="1822"/>
      <c r="L300" s="1822"/>
      <c r="M300" s="1822"/>
      <c r="N300" s="1822"/>
      <c r="O300" s="1822"/>
    </row>
    <row r="301" spans="1:15">
      <c r="A301" s="1553" t="s">
        <v>48</v>
      </c>
      <c r="B301" s="1553" t="s">
        <v>49</v>
      </c>
      <c r="C301" s="1553"/>
      <c r="D301" s="1553" t="s">
        <v>229</v>
      </c>
      <c r="E301" s="1553" t="s">
        <v>230</v>
      </c>
      <c r="F301" s="1553" t="s">
        <v>131</v>
      </c>
      <c r="G301" s="1823" t="s">
        <v>231</v>
      </c>
      <c r="H301" s="1553" t="s">
        <v>232</v>
      </c>
      <c r="I301" s="1553" t="s">
        <v>233</v>
      </c>
      <c r="J301" s="1553" t="s">
        <v>234</v>
      </c>
      <c r="K301" s="1553"/>
      <c r="L301" s="1553"/>
      <c r="M301" s="1553"/>
      <c r="N301" s="1824" t="s">
        <v>1323</v>
      </c>
      <c r="O301" s="1824"/>
    </row>
    <row r="302" spans="1:15">
      <c r="A302" s="1553"/>
      <c r="B302" s="1553"/>
      <c r="C302" s="1553"/>
      <c r="D302" s="1553"/>
      <c r="E302" s="1553"/>
      <c r="F302" s="1553"/>
      <c r="G302" s="1823"/>
      <c r="H302" s="1553"/>
      <c r="I302" s="1553"/>
      <c r="J302" s="1553"/>
      <c r="K302" s="1553"/>
      <c r="L302" s="1553"/>
      <c r="M302" s="1553"/>
      <c r="N302" s="1824"/>
      <c r="O302" s="1824"/>
    </row>
    <row r="303" spans="1:15">
      <c r="A303" s="1553"/>
      <c r="B303" s="1553"/>
      <c r="C303" s="1553"/>
      <c r="D303" s="1553"/>
      <c r="E303" s="1553"/>
      <c r="F303" s="1553"/>
      <c r="G303" s="1823"/>
      <c r="H303" s="1553"/>
      <c r="I303" s="1553"/>
      <c r="J303" s="1825" t="s">
        <v>236</v>
      </c>
      <c r="K303" s="1825"/>
      <c r="L303" s="1726" t="s">
        <v>237</v>
      </c>
      <c r="M303" s="1726"/>
      <c r="N303" s="1824"/>
      <c r="O303" s="1824"/>
    </row>
    <row r="304" spans="1:15">
      <c r="A304" s="1553"/>
      <c r="B304" s="1553"/>
      <c r="C304" s="1553"/>
      <c r="D304" s="1553"/>
      <c r="E304" s="1189" t="s">
        <v>238</v>
      </c>
      <c r="F304" s="1553"/>
      <c r="G304" s="1823"/>
      <c r="H304" s="1553"/>
      <c r="I304" s="1553"/>
      <c r="J304" s="1285" t="s">
        <v>239</v>
      </c>
      <c r="K304" s="1285" t="s">
        <v>240</v>
      </c>
      <c r="L304" s="1285" t="s">
        <v>239</v>
      </c>
      <c r="M304" s="1285" t="s">
        <v>240</v>
      </c>
      <c r="N304" s="608" t="s">
        <v>18</v>
      </c>
      <c r="O304" s="1286" t="s">
        <v>71</v>
      </c>
    </row>
    <row r="305" spans="1:15" ht="51">
      <c r="A305" s="1287">
        <v>213608031</v>
      </c>
      <c r="B305" s="1241" t="s">
        <v>2746</v>
      </c>
      <c r="C305" s="1240"/>
      <c r="D305" s="1240"/>
      <c r="E305" s="1233"/>
      <c r="F305" s="1252"/>
      <c r="G305" s="1231">
        <f>SUM(G306:G308)</f>
        <v>76000000</v>
      </c>
      <c r="H305" s="1295"/>
      <c r="I305" s="1233"/>
      <c r="J305" s="49" t="s">
        <v>677</v>
      </c>
      <c r="K305" s="49" t="s">
        <v>677</v>
      </c>
      <c r="L305" s="1233"/>
      <c r="M305" s="1233"/>
      <c r="N305" s="1233"/>
      <c r="O305" s="1233"/>
    </row>
    <row r="306" spans="1:15" ht="409.5">
      <c r="A306" s="1289">
        <v>213608031</v>
      </c>
      <c r="B306" s="811"/>
      <c r="C306" s="1237" t="s">
        <v>2747</v>
      </c>
      <c r="D306" s="1238"/>
      <c r="E306" s="1233"/>
      <c r="F306" s="1317" t="s">
        <v>2748</v>
      </c>
      <c r="G306" s="1310">
        <v>30000000</v>
      </c>
      <c r="H306" s="1295"/>
      <c r="I306" s="1233"/>
      <c r="J306" s="49" t="s">
        <v>677</v>
      </c>
      <c r="K306" s="49" t="s">
        <v>677</v>
      </c>
      <c r="L306" s="1294" t="s">
        <v>90</v>
      </c>
      <c r="M306" s="1294">
        <v>27901340</v>
      </c>
      <c r="N306" s="49" t="s">
        <v>14</v>
      </c>
      <c r="O306" s="1243" t="s">
        <v>2342</v>
      </c>
    </row>
    <row r="307" spans="1:15" ht="25.5">
      <c r="A307" s="1289">
        <v>2.13608031000005E+16</v>
      </c>
      <c r="B307" s="811"/>
      <c r="C307" s="1237" t="s">
        <v>2749</v>
      </c>
      <c r="D307" s="1238"/>
      <c r="E307" s="1233"/>
      <c r="F307" s="1317"/>
      <c r="G307" s="1310">
        <v>11000000</v>
      </c>
      <c r="H307" s="1295"/>
      <c r="I307" s="1233"/>
      <c r="J307" s="49" t="s">
        <v>677</v>
      </c>
      <c r="K307" s="49" t="s">
        <v>677</v>
      </c>
      <c r="L307" s="1233"/>
      <c r="M307" s="1294"/>
      <c r="N307" s="1233"/>
      <c r="O307" s="1234" t="s">
        <v>2328</v>
      </c>
    </row>
    <row r="308" spans="1:15" ht="216.75">
      <c r="A308" s="1289">
        <v>2.13608031000005E+16</v>
      </c>
      <c r="B308" s="811"/>
      <c r="C308" s="1237" t="s">
        <v>2750</v>
      </c>
      <c r="D308" s="1238"/>
      <c r="E308" s="1233"/>
      <c r="F308" s="1317" t="s">
        <v>2751</v>
      </c>
      <c r="G308" s="1310">
        <v>35000000</v>
      </c>
      <c r="H308" s="1295"/>
      <c r="I308" s="1233"/>
      <c r="J308" s="49" t="s">
        <v>677</v>
      </c>
      <c r="K308" s="49" t="s">
        <v>677</v>
      </c>
      <c r="L308" s="1244" t="s">
        <v>69</v>
      </c>
      <c r="M308" s="1294">
        <v>34859995</v>
      </c>
      <c r="N308" s="49" t="s">
        <v>14</v>
      </c>
      <c r="O308" s="1243" t="s">
        <v>2342</v>
      </c>
    </row>
    <row r="309" spans="1:15" ht="25.5">
      <c r="A309" s="1299"/>
      <c r="B309" s="1300" t="s">
        <v>2752</v>
      </c>
      <c r="C309" s="1282"/>
      <c r="D309" s="1283"/>
      <c r="E309" s="1233"/>
      <c r="F309" s="1252"/>
      <c r="G309" s="1316">
        <f>+G305</f>
        <v>76000000</v>
      </c>
      <c r="H309" s="1295"/>
      <c r="I309" s="1233"/>
      <c r="J309" s="49"/>
      <c r="K309" s="49"/>
      <c r="L309" s="1233"/>
      <c r="M309" s="1233"/>
      <c r="N309" s="1233"/>
      <c r="O309" s="1233"/>
    </row>
    <row r="310" spans="1:15">
      <c r="A310" s="1822" t="s">
        <v>307</v>
      </c>
      <c r="B310" s="1822"/>
      <c r="C310" s="1822"/>
      <c r="D310" s="1822"/>
      <c r="E310" s="1822"/>
      <c r="F310" s="1822"/>
      <c r="G310" s="1822"/>
      <c r="H310" s="1822"/>
      <c r="I310" s="1822"/>
      <c r="J310" s="1822"/>
      <c r="K310" s="1822"/>
      <c r="L310" s="1822"/>
      <c r="M310" s="1822"/>
      <c r="N310" s="1822"/>
      <c r="O310" s="1822"/>
    </row>
    <row r="311" spans="1:15">
      <c r="A311" s="1822" t="s">
        <v>308</v>
      </c>
      <c r="B311" s="1822"/>
      <c r="C311" s="1822"/>
      <c r="D311" s="1822"/>
      <c r="E311" s="1822"/>
      <c r="F311" s="1822"/>
      <c r="G311" s="1822"/>
      <c r="H311" s="1822"/>
      <c r="I311" s="1822"/>
      <c r="J311" s="1822"/>
      <c r="K311" s="1822"/>
      <c r="L311" s="1822"/>
      <c r="M311" s="1822"/>
      <c r="N311" s="1822"/>
      <c r="O311" s="1822"/>
    </row>
    <row r="312" spans="1:15">
      <c r="A312" s="1822" t="s">
        <v>2753</v>
      </c>
      <c r="B312" s="1822"/>
      <c r="C312" s="1822"/>
      <c r="D312" s="1822"/>
      <c r="E312" s="1822"/>
      <c r="F312" s="1822"/>
      <c r="G312" s="1822"/>
      <c r="H312" s="1822"/>
      <c r="I312" s="1822"/>
      <c r="J312" s="1822"/>
      <c r="K312" s="1822"/>
      <c r="L312" s="1822"/>
      <c r="M312" s="1822"/>
      <c r="N312" s="1822"/>
      <c r="O312" s="1822"/>
    </row>
    <row r="313" spans="1:15">
      <c r="A313" s="1553" t="s">
        <v>48</v>
      </c>
      <c r="B313" s="1553" t="s">
        <v>49</v>
      </c>
      <c r="C313" s="1553"/>
      <c r="D313" s="1553" t="s">
        <v>229</v>
      </c>
      <c r="E313" s="1553" t="s">
        <v>230</v>
      </c>
      <c r="F313" s="1553" t="s">
        <v>131</v>
      </c>
      <c r="G313" s="1823" t="s">
        <v>231</v>
      </c>
      <c r="H313" s="1553" t="s">
        <v>232</v>
      </c>
      <c r="I313" s="1553" t="s">
        <v>233</v>
      </c>
      <c r="J313" s="1553" t="s">
        <v>234</v>
      </c>
      <c r="K313" s="1553"/>
      <c r="L313" s="1553"/>
      <c r="M313" s="1553"/>
      <c r="N313" s="1824" t="s">
        <v>1323</v>
      </c>
      <c r="O313" s="1824"/>
    </row>
    <row r="314" spans="1:15">
      <c r="A314" s="1553"/>
      <c r="B314" s="1553"/>
      <c r="C314" s="1553"/>
      <c r="D314" s="1553"/>
      <c r="E314" s="1553"/>
      <c r="F314" s="1553"/>
      <c r="G314" s="1823"/>
      <c r="H314" s="1553"/>
      <c r="I314" s="1553"/>
      <c r="J314" s="1553"/>
      <c r="K314" s="1553"/>
      <c r="L314" s="1553"/>
      <c r="M314" s="1553"/>
      <c r="N314" s="1824"/>
      <c r="O314" s="1824"/>
    </row>
    <row r="315" spans="1:15">
      <c r="A315" s="1553"/>
      <c r="B315" s="1553"/>
      <c r="C315" s="1553"/>
      <c r="D315" s="1553"/>
      <c r="E315" s="1553"/>
      <c r="F315" s="1553"/>
      <c r="G315" s="1823"/>
      <c r="H315" s="1553"/>
      <c r="I315" s="1553"/>
      <c r="J315" s="1825" t="s">
        <v>236</v>
      </c>
      <c r="K315" s="1825"/>
      <c r="L315" s="1726" t="s">
        <v>237</v>
      </c>
      <c r="M315" s="1726"/>
      <c r="N315" s="1824"/>
      <c r="O315" s="1824"/>
    </row>
    <row r="316" spans="1:15">
      <c r="A316" s="1553"/>
      <c r="B316" s="1553"/>
      <c r="C316" s="1553"/>
      <c r="D316" s="1553"/>
      <c r="E316" s="1189" t="s">
        <v>238</v>
      </c>
      <c r="F316" s="1553"/>
      <c r="G316" s="1823"/>
      <c r="H316" s="1553"/>
      <c r="I316" s="1553"/>
      <c r="J316" s="1285" t="s">
        <v>239</v>
      </c>
      <c r="K316" s="1285" t="s">
        <v>240</v>
      </c>
      <c r="L316" s="1285" t="s">
        <v>239</v>
      </c>
      <c r="M316" s="1285" t="s">
        <v>240</v>
      </c>
      <c r="N316" s="608" t="s">
        <v>18</v>
      </c>
      <c r="O316" s="1286" t="s">
        <v>71</v>
      </c>
    </row>
    <row r="317" spans="1:15" ht="38.25">
      <c r="A317" s="1287">
        <v>510608002</v>
      </c>
      <c r="B317" s="1241" t="s">
        <v>104</v>
      </c>
      <c r="C317" s="1229"/>
      <c r="D317" s="1230"/>
      <c r="E317" s="1233"/>
      <c r="F317" s="1252"/>
      <c r="G317" s="1231">
        <f>SUM(G318)</f>
        <v>38000000</v>
      </c>
      <c r="H317" s="1295"/>
      <c r="I317" s="1233"/>
      <c r="J317" s="49" t="s">
        <v>677</v>
      </c>
      <c r="K317" s="49" t="s">
        <v>677</v>
      </c>
      <c r="L317" s="1233"/>
      <c r="M317" s="1233"/>
      <c r="N317" s="1233"/>
      <c r="O317" s="1233"/>
    </row>
    <row r="318" spans="1:15" ht="409.5">
      <c r="A318" s="1318">
        <v>510608002</v>
      </c>
      <c r="B318" s="1236"/>
      <c r="C318" s="1237" t="s">
        <v>2754</v>
      </c>
      <c r="D318" s="1238" t="s">
        <v>2755</v>
      </c>
      <c r="E318" s="1233"/>
      <c r="F318" s="1266" t="s">
        <v>2756</v>
      </c>
      <c r="G318" s="1310">
        <v>38000000</v>
      </c>
      <c r="H318" s="1295"/>
      <c r="I318" s="1233"/>
      <c r="J318" s="49" t="s">
        <v>677</v>
      </c>
      <c r="K318" s="49" t="s">
        <v>677</v>
      </c>
      <c r="L318" s="1244" t="s">
        <v>69</v>
      </c>
      <c r="M318" s="1319">
        <v>36000000</v>
      </c>
      <c r="N318" s="49" t="s">
        <v>14</v>
      </c>
      <c r="O318" s="1243" t="s">
        <v>2342</v>
      </c>
    </row>
    <row r="319" spans="1:15">
      <c r="A319" s="1315"/>
      <c r="B319" s="1300" t="s">
        <v>2757</v>
      </c>
      <c r="C319" s="1282"/>
      <c r="D319" s="1283"/>
      <c r="E319" s="1233"/>
      <c r="F319" s="1252"/>
      <c r="G319" s="1320">
        <f>+G317</f>
        <v>38000000</v>
      </c>
      <c r="H319" s="1295"/>
      <c r="I319" s="1233"/>
      <c r="J319" s="1233"/>
      <c r="K319" s="1233"/>
      <c r="L319" s="1233"/>
      <c r="M319" s="1233"/>
      <c r="N319" s="1233"/>
      <c r="O319" s="1233"/>
    </row>
    <row r="320" spans="1:15">
      <c r="A320" s="1822" t="s">
        <v>307</v>
      </c>
      <c r="B320" s="1822"/>
      <c r="C320" s="1822"/>
      <c r="D320" s="1822"/>
      <c r="E320" s="1822"/>
      <c r="F320" s="1822"/>
      <c r="G320" s="1822"/>
      <c r="H320" s="1822"/>
      <c r="I320" s="1822"/>
      <c r="J320" s="1822"/>
      <c r="K320" s="1822"/>
      <c r="L320" s="1822"/>
      <c r="M320" s="1822"/>
      <c r="N320" s="1822"/>
      <c r="O320" s="1822"/>
    </row>
    <row r="321" spans="1:15">
      <c r="A321" s="1822" t="s">
        <v>308</v>
      </c>
      <c r="B321" s="1822"/>
      <c r="C321" s="1822"/>
      <c r="D321" s="1822"/>
      <c r="E321" s="1822"/>
      <c r="F321" s="1822"/>
      <c r="G321" s="1822"/>
      <c r="H321" s="1822"/>
      <c r="I321" s="1822"/>
      <c r="J321" s="1822"/>
      <c r="K321" s="1822"/>
      <c r="L321" s="1822"/>
      <c r="M321" s="1822"/>
      <c r="N321" s="1822"/>
      <c r="O321" s="1822"/>
    </row>
    <row r="322" spans="1:15">
      <c r="A322" s="1822" t="s">
        <v>2753</v>
      </c>
      <c r="B322" s="1822"/>
      <c r="C322" s="1822"/>
      <c r="D322" s="1822"/>
      <c r="E322" s="1822"/>
      <c r="F322" s="1822"/>
      <c r="G322" s="1822"/>
      <c r="H322" s="1822"/>
      <c r="I322" s="1822"/>
      <c r="J322" s="1822"/>
      <c r="K322" s="1822"/>
      <c r="L322" s="1822"/>
      <c r="M322" s="1822"/>
      <c r="N322" s="1822"/>
      <c r="O322" s="1822"/>
    </row>
    <row r="323" spans="1:15">
      <c r="A323" s="1553" t="s">
        <v>48</v>
      </c>
      <c r="B323" s="1553" t="s">
        <v>49</v>
      </c>
      <c r="C323" s="1553"/>
      <c r="D323" s="1553" t="s">
        <v>229</v>
      </c>
      <c r="E323" s="1553" t="s">
        <v>230</v>
      </c>
      <c r="F323" s="1553" t="s">
        <v>131</v>
      </c>
      <c r="G323" s="1823" t="s">
        <v>231</v>
      </c>
      <c r="H323" s="1553" t="s">
        <v>232</v>
      </c>
      <c r="I323" s="1553" t="s">
        <v>233</v>
      </c>
      <c r="J323" s="1553" t="s">
        <v>234</v>
      </c>
      <c r="K323" s="1553"/>
      <c r="L323" s="1553"/>
      <c r="M323" s="1553"/>
      <c r="N323" s="1824" t="s">
        <v>1323</v>
      </c>
      <c r="O323" s="1824"/>
    </row>
    <row r="324" spans="1:15">
      <c r="A324" s="1553"/>
      <c r="B324" s="1553"/>
      <c r="C324" s="1553"/>
      <c r="D324" s="1553"/>
      <c r="E324" s="1553"/>
      <c r="F324" s="1553"/>
      <c r="G324" s="1823"/>
      <c r="H324" s="1553"/>
      <c r="I324" s="1553"/>
      <c r="J324" s="1553"/>
      <c r="K324" s="1553"/>
      <c r="L324" s="1553"/>
      <c r="M324" s="1553"/>
      <c r="N324" s="1824"/>
      <c r="O324" s="1824"/>
    </row>
    <row r="325" spans="1:15">
      <c r="A325" s="1553"/>
      <c r="B325" s="1553"/>
      <c r="C325" s="1553"/>
      <c r="D325" s="1553"/>
      <c r="E325" s="1553"/>
      <c r="F325" s="1553"/>
      <c r="G325" s="1823"/>
      <c r="H325" s="1553"/>
      <c r="I325" s="1553"/>
      <c r="J325" s="1825" t="s">
        <v>236</v>
      </c>
      <c r="K325" s="1825"/>
      <c r="L325" s="1726" t="s">
        <v>237</v>
      </c>
      <c r="M325" s="1726"/>
      <c r="N325" s="1824"/>
      <c r="O325" s="1824"/>
    </row>
    <row r="326" spans="1:15">
      <c r="A326" s="1553"/>
      <c r="B326" s="1553"/>
      <c r="C326" s="1553"/>
      <c r="D326" s="1553"/>
      <c r="E326" s="1189" t="s">
        <v>238</v>
      </c>
      <c r="F326" s="1553"/>
      <c r="G326" s="1823"/>
      <c r="H326" s="1553"/>
      <c r="I326" s="1553"/>
      <c r="J326" s="1285" t="s">
        <v>239</v>
      </c>
      <c r="K326" s="1285" t="s">
        <v>240</v>
      </c>
      <c r="L326" s="1285" t="s">
        <v>239</v>
      </c>
      <c r="M326" s="1285" t="s">
        <v>240</v>
      </c>
      <c r="N326" s="608" t="s">
        <v>18</v>
      </c>
      <c r="O326" s="1286" t="s">
        <v>71</v>
      </c>
    </row>
    <row r="327" spans="1:15" ht="318.75">
      <c r="A327" s="1321" t="s">
        <v>2758</v>
      </c>
      <c r="B327" s="1253"/>
      <c r="C327" s="1253"/>
      <c r="D327" s="1253"/>
      <c r="E327" s="1253"/>
      <c r="F327" s="1322" t="s">
        <v>2759</v>
      </c>
      <c r="G327" s="1323"/>
      <c r="H327" s="1324"/>
      <c r="I327" s="1253"/>
      <c r="J327" s="326" t="s">
        <v>677</v>
      </c>
      <c r="K327" s="326" t="s">
        <v>677</v>
      </c>
      <c r="L327" s="1325" t="s">
        <v>2760</v>
      </c>
      <c r="M327" s="1297">
        <v>53872051</v>
      </c>
      <c r="N327" s="1253" t="s">
        <v>14</v>
      </c>
      <c r="O327" s="1243" t="s">
        <v>2342</v>
      </c>
    </row>
    <row r="328" spans="1:15" ht="191.25">
      <c r="A328" s="1321">
        <v>2040407</v>
      </c>
      <c r="B328" s="1253"/>
      <c r="C328" s="1253"/>
      <c r="D328" s="1253"/>
      <c r="E328" s="1253"/>
      <c r="F328" s="1326" t="s">
        <v>2761</v>
      </c>
      <c r="G328" s="1323"/>
      <c r="H328" s="1324"/>
      <c r="I328" s="1253"/>
      <c r="J328" s="326" t="s">
        <v>677</v>
      </c>
      <c r="K328" s="326" t="s">
        <v>677</v>
      </c>
      <c r="L328" s="1325" t="s">
        <v>90</v>
      </c>
      <c r="M328" s="1297">
        <v>7656000</v>
      </c>
      <c r="N328" s="1253" t="s">
        <v>14</v>
      </c>
      <c r="O328" s="1243" t="s">
        <v>2342</v>
      </c>
    </row>
    <row r="329" spans="1:15" ht="409.5">
      <c r="A329" s="1321">
        <v>10212</v>
      </c>
      <c r="B329" s="1253"/>
      <c r="C329" s="1253"/>
      <c r="D329" s="1253"/>
      <c r="E329" s="1253"/>
      <c r="F329" s="1327" t="s">
        <v>2762</v>
      </c>
      <c r="G329" s="1323"/>
      <c r="H329" s="1324"/>
      <c r="I329" s="1253"/>
      <c r="J329" s="326" t="s">
        <v>677</v>
      </c>
      <c r="K329" s="326" t="s">
        <v>677</v>
      </c>
      <c r="L329" s="1325" t="s">
        <v>90</v>
      </c>
      <c r="M329" s="1297">
        <v>3300000</v>
      </c>
      <c r="N329" s="1253" t="s">
        <v>14</v>
      </c>
      <c r="O329" s="1243" t="s">
        <v>2342</v>
      </c>
    </row>
    <row r="330" spans="1:15" ht="382.5">
      <c r="A330" s="1321">
        <v>10212</v>
      </c>
      <c r="B330" s="1253"/>
      <c r="C330" s="1253"/>
      <c r="D330" s="1253"/>
      <c r="E330" s="1253"/>
      <c r="F330" s="1322" t="s">
        <v>2763</v>
      </c>
      <c r="G330" s="1323"/>
      <c r="H330" s="1324"/>
      <c r="I330" s="1253"/>
      <c r="J330" s="326" t="s">
        <v>677</v>
      </c>
      <c r="K330" s="326" t="s">
        <v>677</v>
      </c>
      <c r="L330" s="1325" t="s">
        <v>90</v>
      </c>
      <c r="M330" s="1297">
        <v>4650000</v>
      </c>
      <c r="N330" s="1253" t="s">
        <v>14</v>
      </c>
      <c r="O330" s="1243" t="s">
        <v>2342</v>
      </c>
    </row>
    <row r="331" spans="1:15" ht="267.75">
      <c r="A331" s="1321">
        <v>10212</v>
      </c>
      <c r="B331" s="1233"/>
      <c r="C331" s="1233"/>
      <c r="D331" s="1233"/>
      <c r="E331" s="1233"/>
      <c r="F331" s="46" t="s">
        <v>2764</v>
      </c>
      <c r="G331" s="1328"/>
      <c r="H331" s="1295"/>
      <c r="I331" s="1233"/>
      <c r="J331" s="326" t="s">
        <v>677</v>
      </c>
      <c r="K331" s="326" t="s">
        <v>677</v>
      </c>
      <c r="L331" s="1233" t="s">
        <v>90</v>
      </c>
      <c r="M331" s="1297">
        <v>915500</v>
      </c>
      <c r="N331" s="1253" t="s">
        <v>14</v>
      </c>
      <c r="O331" s="1243" t="s">
        <v>2342</v>
      </c>
    </row>
    <row r="332" spans="1:15" ht="267.75">
      <c r="A332" s="1321">
        <v>10212</v>
      </c>
      <c r="B332" s="1233"/>
      <c r="C332" s="1233"/>
      <c r="D332" s="1233"/>
      <c r="E332" s="1233"/>
      <c r="F332" s="46" t="s">
        <v>2764</v>
      </c>
      <c r="G332" s="1328"/>
      <c r="H332" s="1295"/>
      <c r="I332" s="1233"/>
      <c r="J332" s="326" t="s">
        <v>677</v>
      </c>
      <c r="K332" s="326" t="s">
        <v>677</v>
      </c>
      <c r="L332" s="1233" t="s">
        <v>90</v>
      </c>
      <c r="M332" s="1297">
        <v>915000</v>
      </c>
      <c r="N332" s="1253" t="s">
        <v>14</v>
      </c>
      <c r="O332" s="1243" t="s">
        <v>2342</v>
      </c>
    </row>
    <row r="333" spans="1:15" ht="204">
      <c r="A333" s="1321" t="s">
        <v>2765</v>
      </c>
      <c r="B333" s="1253"/>
      <c r="C333" s="1253"/>
      <c r="D333" s="1253"/>
      <c r="E333" s="1253"/>
      <c r="F333" s="1322" t="s">
        <v>2766</v>
      </c>
      <c r="G333" s="1323"/>
      <c r="H333" s="1324"/>
      <c r="I333" s="1253"/>
      <c r="J333" s="326" t="s">
        <v>677</v>
      </c>
      <c r="K333" s="326" t="s">
        <v>677</v>
      </c>
      <c r="L333" s="1325" t="s">
        <v>90</v>
      </c>
      <c r="M333" s="1297">
        <v>13722411</v>
      </c>
      <c r="N333" s="1253" t="s">
        <v>14</v>
      </c>
      <c r="O333" s="1243" t="s">
        <v>2342</v>
      </c>
    </row>
    <row r="334" spans="1:15" ht="204">
      <c r="A334" s="1321" t="s">
        <v>2767</v>
      </c>
      <c r="B334" s="1253"/>
      <c r="C334" s="1253"/>
      <c r="D334" s="1253"/>
      <c r="E334" s="1253"/>
      <c r="F334" s="1322" t="s">
        <v>2768</v>
      </c>
      <c r="G334" s="1323"/>
      <c r="H334" s="1324"/>
      <c r="I334" s="1253"/>
      <c r="J334" s="326" t="s">
        <v>677</v>
      </c>
      <c r="K334" s="326" t="s">
        <v>677</v>
      </c>
      <c r="L334" s="1325" t="s">
        <v>2760</v>
      </c>
      <c r="M334" s="1297">
        <v>9296545</v>
      </c>
      <c r="N334" s="1253" t="s">
        <v>14</v>
      </c>
      <c r="O334" s="1243" t="s">
        <v>2342</v>
      </c>
    </row>
    <row r="335" spans="1:15" ht="293.25">
      <c r="A335" s="1321">
        <v>2040403</v>
      </c>
      <c r="B335" s="1253"/>
      <c r="C335" s="1253"/>
      <c r="D335" s="1253"/>
      <c r="E335" s="1253"/>
      <c r="F335" s="1322" t="s">
        <v>2769</v>
      </c>
      <c r="G335" s="1323"/>
      <c r="H335" s="1324"/>
      <c r="I335" s="1253"/>
      <c r="J335" s="326" t="s">
        <v>677</v>
      </c>
      <c r="K335" s="326" t="s">
        <v>677</v>
      </c>
      <c r="L335" s="1325" t="s">
        <v>91</v>
      </c>
      <c r="M335" s="1297">
        <v>9941224</v>
      </c>
      <c r="N335" s="1253" t="s">
        <v>14</v>
      </c>
      <c r="O335" s="1243" t="s">
        <v>2342</v>
      </c>
    </row>
    <row r="336" spans="1:15" ht="242.25">
      <c r="A336" s="1321">
        <v>10214</v>
      </c>
      <c r="B336" s="1253"/>
      <c r="C336" s="1253"/>
      <c r="D336" s="1253"/>
      <c r="E336" s="1253"/>
      <c r="F336" s="1327" t="s">
        <v>2770</v>
      </c>
      <c r="G336" s="1323"/>
      <c r="H336" s="1324"/>
      <c r="I336" s="1253"/>
      <c r="J336" s="326" t="s">
        <v>677</v>
      </c>
      <c r="K336" s="326" t="s">
        <v>677</v>
      </c>
      <c r="L336" s="1325" t="s">
        <v>91</v>
      </c>
      <c r="M336" s="1329">
        <v>9711000</v>
      </c>
      <c r="N336" s="1253" t="s">
        <v>14</v>
      </c>
      <c r="O336" s="1243" t="s">
        <v>2342</v>
      </c>
    </row>
    <row r="337" spans="1:15" ht="114.75">
      <c r="A337" s="1321">
        <v>2042101</v>
      </c>
      <c r="B337" s="1253"/>
      <c r="C337" s="1253"/>
      <c r="D337" s="1253"/>
      <c r="E337" s="1253"/>
      <c r="F337" s="1327" t="s">
        <v>2771</v>
      </c>
      <c r="G337" s="1323"/>
      <c r="H337" s="1324"/>
      <c r="I337" s="1253"/>
      <c r="J337" s="326" t="s">
        <v>677</v>
      </c>
      <c r="K337" s="326" t="s">
        <v>677</v>
      </c>
      <c r="L337" s="1321" t="s">
        <v>89</v>
      </c>
      <c r="M337" s="1297">
        <v>7614542</v>
      </c>
      <c r="N337" s="1253" t="s">
        <v>14</v>
      </c>
      <c r="O337" s="1251" t="s">
        <v>2342</v>
      </c>
    </row>
    <row r="338" spans="1:15" ht="114.75">
      <c r="A338" s="1321">
        <v>2042101</v>
      </c>
      <c r="B338" s="1253"/>
      <c r="C338" s="1253"/>
      <c r="D338" s="1253"/>
      <c r="E338" s="1253"/>
      <c r="F338" s="1327" t="s">
        <v>2771</v>
      </c>
      <c r="G338" s="1323"/>
      <c r="H338" s="1324"/>
      <c r="I338" s="1253"/>
      <c r="J338" s="326" t="s">
        <v>677</v>
      </c>
      <c r="K338" s="326" t="s">
        <v>677</v>
      </c>
      <c r="L338" s="1321" t="s">
        <v>89</v>
      </c>
      <c r="M338" s="1297">
        <v>7614542</v>
      </c>
      <c r="N338" s="1253" t="s">
        <v>14</v>
      </c>
      <c r="O338" s="1251" t="s">
        <v>2342</v>
      </c>
    </row>
    <row r="339" spans="1:15" ht="114.75">
      <c r="A339" s="1321">
        <v>2042101</v>
      </c>
      <c r="B339" s="1253"/>
      <c r="C339" s="1253"/>
      <c r="D339" s="1253"/>
      <c r="E339" s="1253"/>
      <c r="F339" s="1327" t="s">
        <v>2771</v>
      </c>
      <c r="G339" s="1323"/>
      <c r="H339" s="1324"/>
      <c r="I339" s="1253"/>
      <c r="J339" s="326" t="s">
        <v>677</v>
      </c>
      <c r="K339" s="326" t="s">
        <v>677</v>
      </c>
      <c r="L339" s="1321" t="s">
        <v>89</v>
      </c>
      <c r="M339" s="1297">
        <v>7350598</v>
      </c>
      <c r="N339" s="1253" t="s">
        <v>14</v>
      </c>
      <c r="O339" s="1251" t="s">
        <v>2342</v>
      </c>
    </row>
    <row r="340" spans="1:15" ht="153">
      <c r="A340" s="1330">
        <v>23608002000002</v>
      </c>
      <c r="B340" s="1253"/>
      <c r="C340" s="1253"/>
      <c r="D340" s="1253"/>
      <c r="E340" s="1253"/>
      <c r="F340" s="1327" t="s">
        <v>2772</v>
      </c>
      <c r="G340" s="1323"/>
      <c r="H340" s="1324"/>
      <c r="I340" s="1253"/>
      <c r="J340" s="326" t="s">
        <v>677</v>
      </c>
      <c r="K340" s="326" t="s">
        <v>677</v>
      </c>
      <c r="L340" s="1325" t="s">
        <v>90</v>
      </c>
      <c r="M340" s="1297">
        <v>13363200</v>
      </c>
      <c r="N340" s="1253" t="s">
        <v>14</v>
      </c>
      <c r="O340" s="1243" t="s">
        <v>2342</v>
      </c>
    </row>
    <row r="341" spans="1:15" ht="267.75">
      <c r="A341" s="1321" t="s">
        <v>2773</v>
      </c>
      <c r="B341" s="1253"/>
      <c r="C341" s="1253"/>
      <c r="D341" s="1253"/>
      <c r="E341" s="1253"/>
      <c r="F341" s="1327" t="s">
        <v>2774</v>
      </c>
      <c r="G341" s="1323"/>
      <c r="H341" s="1324"/>
      <c r="I341" s="1253"/>
      <c r="J341" s="326" t="s">
        <v>677</v>
      </c>
      <c r="K341" s="326" t="s">
        <v>677</v>
      </c>
      <c r="L341" s="1325" t="s">
        <v>2760</v>
      </c>
      <c r="M341" s="1297">
        <v>20862600</v>
      </c>
      <c r="N341" s="1253" t="s">
        <v>14</v>
      </c>
      <c r="O341" s="1243" t="s">
        <v>2342</v>
      </c>
    </row>
    <row r="342" spans="1:15">
      <c r="N342" s="1331">
        <f>110/112</f>
        <v>0.9821428571428571</v>
      </c>
    </row>
  </sheetData>
  <mergeCells count="150">
    <mergeCell ref="A1:O1"/>
    <mergeCell ref="A2:O2"/>
    <mergeCell ref="A3:O3"/>
    <mergeCell ref="A4:A7"/>
    <mergeCell ref="B4:C7"/>
    <mergeCell ref="D4:D7"/>
    <mergeCell ref="E4:E6"/>
    <mergeCell ref="F4:F7"/>
    <mergeCell ref="G4:G7"/>
    <mergeCell ref="H4:H7"/>
    <mergeCell ref="I4:I7"/>
    <mergeCell ref="J4:M5"/>
    <mergeCell ref="N4:O6"/>
    <mergeCell ref="J6:K6"/>
    <mergeCell ref="L6:M6"/>
    <mergeCell ref="B29:B39"/>
    <mergeCell ref="B40:B45"/>
    <mergeCell ref="B46:B55"/>
    <mergeCell ref="D51:D52"/>
    <mergeCell ref="D53:D55"/>
    <mergeCell ref="B8:C8"/>
    <mergeCell ref="B10:C10"/>
    <mergeCell ref="B11:B27"/>
    <mergeCell ref="F11:F14"/>
    <mergeCell ref="B28:C28"/>
    <mergeCell ref="F81:F84"/>
    <mergeCell ref="D92:D95"/>
    <mergeCell ref="B96:B106"/>
    <mergeCell ref="D99:D100"/>
    <mergeCell ref="D102:D103"/>
    <mergeCell ref="B56:B72"/>
    <mergeCell ref="B73:B77"/>
    <mergeCell ref="B78:B95"/>
    <mergeCell ref="D79:D80"/>
    <mergeCell ref="D81:D84"/>
    <mergeCell ref="B141:C141"/>
    <mergeCell ref="B142:B157"/>
    <mergeCell ref="D151:D152"/>
    <mergeCell ref="B158:B161"/>
    <mergeCell ref="B162:B164"/>
    <mergeCell ref="G102:G103"/>
    <mergeCell ref="M102:M103"/>
    <mergeCell ref="B107:B140"/>
    <mergeCell ref="D108:D109"/>
    <mergeCell ref="D110:D111"/>
    <mergeCell ref="D115:D117"/>
    <mergeCell ref="D123:D128"/>
    <mergeCell ref="D129:D134"/>
    <mergeCell ref="D135:D139"/>
    <mergeCell ref="B189:B199"/>
    <mergeCell ref="D194:D195"/>
    <mergeCell ref="D196:D197"/>
    <mergeCell ref="B200:C200"/>
    <mergeCell ref="A204:O204"/>
    <mergeCell ref="B165:B172"/>
    <mergeCell ref="F166:F172"/>
    <mergeCell ref="B173:B175"/>
    <mergeCell ref="B176:B187"/>
    <mergeCell ref="B188:C188"/>
    <mergeCell ref="C242:C243"/>
    <mergeCell ref="G242:G243"/>
    <mergeCell ref="A255:O255"/>
    <mergeCell ref="A256:O256"/>
    <mergeCell ref="A257:O257"/>
    <mergeCell ref="A205:O205"/>
    <mergeCell ref="A206:O206"/>
    <mergeCell ref="A207:A210"/>
    <mergeCell ref="B207:C210"/>
    <mergeCell ref="D207:D210"/>
    <mergeCell ref="E207:E209"/>
    <mergeCell ref="F207:F210"/>
    <mergeCell ref="G207:G210"/>
    <mergeCell ref="H207:H210"/>
    <mergeCell ref="I207:I210"/>
    <mergeCell ref="J207:M208"/>
    <mergeCell ref="N207:O209"/>
    <mergeCell ref="J209:K209"/>
    <mergeCell ref="L209:M209"/>
    <mergeCell ref="G258:G261"/>
    <mergeCell ref="H258:H261"/>
    <mergeCell ref="I258:I261"/>
    <mergeCell ref="J258:M259"/>
    <mergeCell ref="N258:O260"/>
    <mergeCell ref="J260:K260"/>
    <mergeCell ref="L260:M260"/>
    <mergeCell ref="A258:A261"/>
    <mergeCell ref="B258:C261"/>
    <mergeCell ref="D258:D261"/>
    <mergeCell ref="E258:E260"/>
    <mergeCell ref="F258:F261"/>
    <mergeCell ref="A270:O270"/>
    <mergeCell ref="A271:O271"/>
    <mergeCell ref="A272:O272"/>
    <mergeCell ref="A273:A276"/>
    <mergeCell ref="B273:C276"/>
    <mergeCell ref="D273:D276"/>
    <mergeCell ref="E273:E275"/>
    <mergeCell ref="F273:F276"/>
    <mergeCell ref="G273:G276"/>
    <mergeCell ref="H273:H276"/>
    <mergeCell ref="I273:I276"/>
    <mergeCell ref="J273:M274"/>
    <mergeCell ref="N273:O275"/>
    <mergeCell ref="J275:K275"/>
    <mergeCell ref="L275:M275"/>
    <mergeCell ref="A298:O298"/>
    <mergeCell ref="A299:O299"/>
    <mergeCell ref="A300:O300"/>
    <mergeCell ref="A301:A304"/>
    <mergeCell ref="B301:C304"/>
    <mergeCell ref="D301:D304"/>
    <mergeCell ref="E301:E303"/>
    <mergeCell ref="F301:F304"/>
    <mergeCell ref="G301:G304"/>
    <mergeCell ref="H301:H304"/>
    <mergeCell ref="I301:I304"/>
    <mergeCell ref="J301:M302"/>
    <mergeCell ref="N301:O303"/>
    <mergeCell ref="J303:K303"/>
    <mergeCell ref="L303:M303"/>
    <mergeCell ref="A310:O310"/>
    <mergeCell ref="A311:O311"/>
    <mergeCell ref="A312:O312"/>
    <mergeCell ref="A313:A316"/>
    <mergeCell ref="B313:C316"/>
    <mergeCell ref="D313:D316"/>
    <mergeCell ref="E313:E315"/>
    <mergeCell ref="F313:F316"/>
    <mergeCell ref="G313:G316"/>
    <mergeCell ref="H313:H316"/>
    <mergeCell ref="I313:I316"/>
    <mergeCell ref="J313:M314"/>
    <mergeCell ref="N313:O315"/>
    <mergeCell ref="J315:K315"/>
    <mergeCell ref="L315:M315"/>
    <mergeCell ref="A320:O320"/>
    <mergeCell ref="A321:O321"/>
    <mergeCell ref="A322:O322"/>
    <mergeCell ref="A323:A326"/>
    <mergeCell ref="B323:C326"/>
    <mergeCell ref="D323:D326"/>
    <mergeCell ref="E323:E325"/>
    <mergeCell ref="F323:F326"/>
    <mergeCell ref="G323:G326"/>
    <mergeCell ref="H323:H326"/>
    <mergeCell ref="I323:I326"/>
    <mergeCell ref="J323:M324"/>
    <mergeCell ref="N323:O325"/>
    <mergeCell ref="J325:K325"/>
    <mergeCell ref="L325:M325"/>
  </mergeCells>
  <conditionalFormatting sqref="F75:F98 F8:F23 F44:F73 F25:F27 F29:F42 F100:F140 F142:F187 F189:F203">
    <cfRule type="duplicateValues" dxfId="8" priority="9"/>
  </conditionalFormatting>
  <conditionalFormatting sqref="F43">
    <cfRule type="duplicateValues" dxfId="7" priority="8"/>
  </conditionalFormatting>
  <conditionalFormatting sqref="I23">
    <cfRule type="duplicateValues" dxfId="6" priority="7"/>
  </conditionalFormatting>
  <conditionalFormatting sqref="F24">
    <cfRule type="duplicateValues" dxfId="5" priority="6"/>
  </conditionalFormatting>
  <conditionalFormatting sqref="I75">
    <cfRule type="duplicateValues" dxfId="4" priority="5"/>
  </conditionalFormatting>
  <conditionalFormatting sqref="F74">
    <cfRule type="duplicateValues" dxfId="3" priority="4"/>
  </conditionalFormatting>
  <conditionalFormatting sqref="I99">
    <cfRule type="duplicateValues" dxfId="2" priority="3"/>
  </conditionalFormatting>
  <conditionalFormatting sqref="F99">
    <cfRule type="duplicateValues" dxfId="1" priority="2"/>
  </conditionalFormatting>
  <conditionalFormatting sqref="F212">
    <cfRule type="duplicateValues" dxfId="0" priority="1"/>
  </conditionalFormatting>
  <dataValidations count="1">
    <dataValidation allowBlank="1" showInputMessage="1" showErrorMessage="1" promptTitle="Unidad de Negocio" prompt="Nivel Central_x000a_Aeropuerto_x000a_Regional_x000a_" sqref="F67:F70 D67:D70"/>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AEVVZYF6TF2M-824-82</_dlc_DocId>
    <_dlc_DocIdUrl xmlns="b150946a-e91e-41f5-8b47-a9dbc3d237ee">
      <Url>http://www.aerocivil.gov.co/Aerocivil/PlanGestControl/PoliticasPlanesProy/Plan de Accion/Vigencia Actual/_layouts/DocIdRedir.aspx?ID=AEVVZYF6TF2M-824-82</Url>
      <Description>AEVVZYF6TF2M-824-82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2015</Filtro>
    <c4yw xmlns="6f7f4dee-6573-4fec-a6e6-3d6cc2c2460a">12</c4yw>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DF250-15BB-46E0-A173-4300F5CC96BA}"/>
</file>

<file path=customXml/itemProps2.xml><?xml version="1.0" encoding="utf-8"?>
<ds:datastoreItem xmlns:ds="http://schemas.openxmlformats.org/officeDocument/2006/customXml" ds:itemID="{47842FB3-60F9-4B0D-B855-2AA7EDE9B9DC}"/>
</file>

<file path=customXml/itemProps3.xml><?xml version="1.0" encoding="utf-8"?>
<ds:datastoreItem xmlns:ds="http://schemas.openxmlformats.org/officeDocument/2006/customXml" ds:itemID="{4FE851BF-AC7D-4599-A2A1-4A1E02464D65}"/>
</file>

<file path=customXml/itemProps4.xml><?xml version="1.0" encoding="utf-8"?>
<ds:datastoreItem xmlns:ds="http://schemas.openxmlformats.org/officeDocument/2006/customXml" ds:itemID="{47842FB3-60F9-4B0D-B855-2AA7EDE9B9DC}"/>
</file>

<file path=customXml/itemProps5.xml><?xml version="1.0" encoding="utf-8"?>
<ds:datastoreItem xmlns:ds="http://schemas.openxmlformats.org/officeDocument/2006/customXml" ds:itemID="{2D3C85B2-D473-4D6F-91B9-A885DFF370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CUMPLIMIENTO</vt:lpstr>
      <vt:lpstr>SUBDIRECCION </vt:lpstr>
      <vt:lpstr>CEA</vt:lpstr>
      <vt:lpstr>INMUEBLES</vt:lpstr>
      <vt:lpstr>TALENTO  HUMANO</vt:lpstr>
      <vt:lpstr>INFORMATICA</vt:lpstr>
      <vt:lpstr>DSSA</vt:lpstr>
      <vt:lpstr>TELECOMUNICACIONES</vt:lpstr>
      <vt:lpstr>DDA</vt:lpstr>
      <vt:lpstr>SSA</vt:lpstr>
      <vt:lpstr>ANTIOQUIA</vt:lpstr>
      <vt:lpstr>ATLANTICO</vt:lpstr>
      <vt:lpstr>VALLE</vt:lpstr>
      <vt:lpstr>NORTE DE SANTANDER</vt:lpstr>
      <vt:lpstr>Hoja5</vt:lpstr>
      <vt:lpstr>META</vt:lpstr>
      <vt:lpstr>CUNDINAMARCA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 Dic 2015</dc:title>
  <dc:creator/>
  <cp:lastModifiedBy/>
  <dcterms:created xsi:type="dcterms:W3CDTF">2006-09-16T00:00:00Z</dcterms:created>
  <dcterms:modified xsi:type="dcterms:W3CDTF">2016-01-30T22:13:15Z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AEVVZYF6TF2M-824-73</vt:lpwstr>
  </property>
  <property fmtid="{D5CDD505-2E9C-101B-9397-08002B2CF9AE}" pid="3" name="_dlc_DocIdItemGuid">
    <vt:lpwstr>86a918e0-b4b1-4483-923c-554c204c670a</vt:lpwstr>
  </property>
  <property fmtid="{D5CDD505-2E9C-101B-9397-08002B2CF9AE}" pid="4" name="_dlc_DocIdUrl">
    <vt:lpwstr>http://www.aerocivil.gov.co/Aerocivil/PlanGestControl/PoliticasPlanesProy/Plan de Accion/Vigencia Actual/_layouts/DocIdRedir.aspx?ID=AEVVZYF6TF2M-824-73, AEVVZYF6TF2M-824-73</vt:lpwstr>
  </property>
  <property fmtid="{D5CDD505-2E9C-101B-9397-08002B2CF9AE}" pid="5" name="ContentTypeId">
    <vt:lpwstr>0x01010059EC01A580DFC64B858D5549D954CE6A</vt:lpwstr>
  </property>
</Properties>
</file>